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<sst xmlns="http://schemas.openxmlformats.org/spreadsheetml/2006/main" count="1374" uniqueCount="679">
  <si>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</si>
  <si>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</si>
  <si>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</si>
  <si>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</si>
  <si>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</si>
  <si>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</si>
  <si>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</si>
  <si>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</si>
  <si>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</si>
  <si>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</si>
  <si>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</si>
  <si>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</si>
  <si>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</si>
  <si>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</si>
  <si>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</si>
  <si>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</si>
  <si>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</si>
  <si>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</si>
  <si>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</si>
  <si>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</si>
  <si>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</si>
  <si>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</si>
  <si>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</si>
  <si>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</si>
  <si>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</si>
  <si>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</si>
  <si>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</si>
  <si>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</si>
  <si>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</si>
  <si>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</si>
  <si>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</si>
  <si>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</si>
  <si>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</si>
  <si>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</si>
  <si>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</si>
  <si>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</si>
  <si>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</si>
  <si>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</si>
  <si>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</si>
  <si>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</si>
  <si>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</si>
  <si>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</si>
  <si>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</si>
  <si>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</si>
  <si>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</si>
  <si>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</si>
  <si>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</si>
  <si>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</si>
  <si>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</si>
  <si>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</si>
  <si>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</si>
  <si>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</si>
  <si>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</si>
  <si>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</si>
  <si>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</si>
  <si>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</si>
  <si>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</si>
  <si>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</si>
  <si>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</si>
  <si>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</si>
  <si>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</si>
  <si>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</si>
  <si>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</si>
  <si>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</si>
  <si>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</si>
  <si>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</si>
  <si>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</si>
  <si>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</si>
  <si>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</si>
  <si>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</si>
  <si>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</si>
  <si>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</si>
  <si>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</si>
  <si>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</si>
  <si>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</si>
  <si>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</si>
  <si>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</si>
  <si>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</si>
  <si>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</si>
  <si>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</si>
  <si>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</si>
  <si>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</si>
  <si>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</si>
  <si>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</si>
  <si>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</si>
  <si>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</si>
  <si>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</si>
  <si>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</si>
  <si>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</si>
  <si>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</si>
  <si>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</si>
  <si>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</si>
  <si>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</si>
  <si>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</si>
  <si>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</si>
  <si>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</si>
  <si>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</si>
  <si>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</si>
  <si>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</si>
  <si>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</si>
  <si>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</si>
  <si>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</si>
  <si>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</si>
  <si>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</si>
  <si>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</si>
  <si>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</si>
  <si>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</si>
  <si>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</si>
  <si>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</si>
  <si>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</si>
  <si>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</si>
  <si>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</si>
  <si>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</si>
  <si>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</si>
  <si>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</si>
  <si>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</si>
  <si>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</si>
  <si>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</si>
  <si>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</si>
  <si>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</si>
  <si>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</si>
  <si>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</si>
  <si>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</si>
  <si>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</si>
  <si>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</si>
  <si>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</si>
  <si>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</si>
  <si>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</si>
  <si>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</si>
  <si>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</si>
  <si>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</si>
  <si>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</si>
  <si>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</si>
  <si>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</si>
  <si>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</si>
  <si>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</si>
  <si>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</si>
  <si>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</si>
  <si>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</si>
  <si>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</si>
  <si>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</si>
  <si>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</si>
  <si>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</si>
  <si>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</si>
  <si>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</si>
  <si>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</si>
  <si>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</si>
  <si>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</si>
  <si>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</si>
  <si>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</si>
  <si>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</si>
  <si>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</si>
  <si>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</si>
  <si>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</si>
  <si>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</si>
  <si>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</si>
  <si>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</si>
  <si>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</si>
  <si>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</si>
  <si>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</si>
  <si>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</si>
  <si>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</si>
  <si>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</si>
  <si>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</si>
  <si>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</si>
  <si>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</si>
  <si>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</si>
  <si>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</si>
  <si>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</si>
  <si>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</si>
  <si>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</si>
  <si>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</si>
  <si>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</si>
  <si>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</si>
  <si>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</si>
  <si>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</si>
  <si>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</si>
  <si>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</si>
  <si>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</si>
  <si>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</si>
  <si>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</si>
  <si>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</si>
  <si>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</si>
  <si>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</si>
  <si>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</si>
  <si>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</si>
  <si>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</si>
  <si>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</si>
  <si>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</si>
  <si>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</si>
  <si>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</si>
  <si>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</si>
  <si>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</si>
  <si>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</si>
  <si>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</si>
  <si>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</si>
  <si>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</si>
  <si>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</si>
  <si>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</si>
  <si>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</si>
  <si>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</si>
  <si>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</si>
  <si>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</si>
  <si>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</si>
  <si>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</si>
  <si>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</si>
  <si>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</si>
  <si>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</si>
  <si>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</si>
  <si>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</si>
  <si>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</si>
  <si>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</si>
  <si>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</si>
  <si>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</si>
  <si>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</si>
  <si>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</si>
  <si>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</si>
  <si>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</si>
  <si>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</si>
  <si>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</si>
  <si>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</si>
  <si>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</si>
  <si>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</si>
  <si>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</si>
  <si>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</si>
  <si>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</si>
  <si>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</si>
  <si>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</si>
  <si>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</si>
  <si>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</si>
  <si>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</si>
  <si>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</si>
  <si>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</si>
  <si>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</si>
  <si>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</si>
  <si>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</si>
  <si>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</si>
  <si>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</si>
  <si>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</si>
  <si>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</si>
  <si>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</si>
  <si>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</si>
  <si>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</si>
  <si>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</si>
  <si>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</si>
  <si>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</si>
  <si>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</si>
  <si>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</si>
  <si>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</si>
  <si>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</si>
  <si>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</si>
  <si>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</si>
  <si>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</si>
  <si>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</si>
  <si>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</si>
  <si>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</si>
  <si>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</si>
  <si>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</si>
  <si>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</si>
  <si>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</si>
  <si>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</si>
  <si>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</si>
  <si>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</si>
  <si>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</si>
  <si>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</si>
  <si>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</si>
  <si>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</si>
  <si>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</si>
  <si>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</si>
  <si>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</si>
  <si>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</si>
  <si>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</si>
  <si>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</si>
  <si>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</si>
  <si>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</si>
  <si>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</si>
  <si>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</si>
  <si>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</si>
  <si>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</si>
  <si>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</si>
  <si>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</si>
  <si>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</si>
  <si>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</si>
  <si>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</si>
  <si>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</si>
  <si>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</si>
  <si>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</si>
  <si>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</si>
  <si>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</si>
  <si>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</si>
  <si>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</si>
  <si>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</si>
  <si>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</si>
  <si>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</si>
  <si>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</si>
  <si>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</si>
  <si>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</si>
  <si>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</si>
  <si>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</si>
  <si>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</si>
  <si>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</si>
  <si>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</si>
  <si>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</si>
  <si>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</si>
  <si>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</si>
  <si>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</si>
  <si>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</si>
  <si>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</si>
  <si>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</si>
  <si>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</si>
  <si>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</si>
  <si>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</si>
  <si>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</si>
  <si>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</si>
  <si>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</si>
  <si>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</si>
  <si>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</si>
  <si>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</si>
  <si>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</si>
  <si>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</si>
  <si>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</si>
  <si>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</si>
  <si>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</si>
  <si>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</si>
  <si>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</si>
  <si>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</si>
  <si>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</si>
  <si>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</si>
  <si>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</si>
  <si>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</si>
  <si>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</si>
  <si>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</si>
  <si>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</si>
  <si>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</si>
  <si>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</si>
  <si>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</si>
  <si>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</si>
  <si>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</si>
  <si>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</si>
  <si>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</si>
  <si>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</si>
  <si>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</si>
  <si>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</si>
  <si>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</si>
  <si>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</si>
  <si>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</si>
  <si>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</si>
  <si>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</si>
  <si>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</si>
  <si>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</si>
  <si>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</si>
  <si>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</si>
  <si>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</si>
  <si>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</si>
  <si>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</si>
  <si>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</si>
  <si>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</si>
  <si>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</si>
  <si>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</si>
  <si>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</si>
  <si>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</si>
  <si>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</si>
  <si>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</si>
  <si>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</si>
  <si>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</si>
  <si>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</si>
  <si>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</si>
  <si>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</si>
  <si>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</si>
  <si>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</si>
  <si>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</si>
  <si>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</si>
  <si>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</si>
  <si>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</si>
  <si>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</si>
  <si>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</si>
  <si>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</si>
  <si>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</si>
  <si>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</si>
  <si>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</si>
  <si>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</si>
  <si>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</si>
  <si>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</si>
  <si>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</si>
  <si>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</si>
  <si>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</si>
  <si>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</si>
  <si>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</si>
  <si>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</si>
  <si>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</si>
  <si>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</si>
  <si>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</si>
  <si>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</si>
  <si>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</si>
  <si>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</si>
  <si>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</si>
  <si>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</si>
  <si>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</si>
  <si>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</si>
  <si>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</si>
  <si>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</si>
  <si>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</si>
  <si>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</si>
  <si>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</si>
  <si>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</si>
  <si>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</si>
  <si>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</si>
  <si>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</si>
  <si>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</si>
  <si>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</si>
  <si>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</si>
  <si>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</si>
  <si>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</si>
  <si>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</si>
  <si>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</si>
  <si>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</si>
  <si>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</si>
  <si>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</si>
  <si>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</si>
  <si>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</si>
  <si>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</si>
  <si>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</si>
  <si>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</si>
  <si>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</si>
  <si>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</si>
  <si>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</si>
  <si>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</si>
  <si>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</si>
  <si>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</si>
  <si>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</si>
  <si>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</si>
  <si>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</si>
  <si>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</si>
  <si>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</si>
  <si>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</si>
  <si>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</si>
  <si>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</si>
  <si>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</si>
  <si>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</si>
  <si>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</si>
  <si>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</si>
  <si>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</si>
  <si>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</si>
  <si>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</si>
  <si>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</si>
  <si>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</si>
  <si>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</si>
  <si>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</si>
  <si>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</si>
  <si>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</si>
  <si>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</si>
  <si>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</si>
  <si>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</si>
  <si>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</si>
  <si>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</si>
  <si>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</si>
  <si>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</si>
  <si>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</si>
  <si>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</si>
  <si>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</si>
  <si>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</si>
  <si>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</si>
  <si>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</si>
  <si>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</si>
  <si>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</si>
  <si>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</si>
  <si>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</si>
  <si>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</si>
  <si>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</si>
  <si>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</si>
  <si>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</si>
  <si>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</si>
  <si>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</si>
  <si>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</si>
  <si>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</si>
  <si>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</si>
  <si>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</si>
  <si>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</si>
  <si>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</si>
  <si>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</si>
  <si>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</si>
  <si>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</si>
  <si>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</si>
  <si>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</si>
  <si>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</si>
  <si>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</si>
  <si>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</si>
  <si>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</si>
  <si>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</si>
  <si>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</si>
  <si>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</si>
  <si>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</si>
  <si>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</si>
  <si>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</si>
  <si>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</si>
  <si>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</si>
  <si>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</si>
  <si>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</si>
  <si>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</si>
  <si>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</si>
  <si>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</si>
  <si>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</si>
  <si>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</si>
  <si>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</si>
  <si>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</si>
  <si>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</si>
  <si>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</si>
  <si>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</si>
  <si>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</si>
  <si>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</si>
  <si>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</si>
  <si>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</si>
  <si>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</si>
  <si>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</si>
  <si>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</si>
  <si>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</si>
  <si>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</si>
  <si>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</si>
  <si>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</si>
  <si>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</si>
  <si>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</si>
  <si>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</si>
  <si>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</si>
  <si>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</si>
  <si>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</si>
  <si>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</si>
  <si>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</si>
  <si>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</si>
  <si>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</si>
  <si>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</si>
  <si>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</si>
  <si>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</si>
  <si>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</si>
  <si>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</si>
  <si>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</si>
  <si>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</si>
  <si>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</si>
  <si>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</si>
  <si>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</si>
  <si>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</si>
  <si>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</si>
  <si>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</si>
  <si>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</si>
  <si>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</si>
  <si>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</si>
  <si>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</si>
  <si>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</si>
  <si>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</si>
  <si>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</si>
  <si>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</si>
  <si>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</si>
  <si>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</si>
  <si>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</si>
  <si>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</si>
  <si>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</si>
  <si>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</si>
  <si>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</si>
  <si>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</si>
  <si>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</si>
  <si>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</si>
  <si>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</si>
  <si>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</si>
  <si>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</si>
  <si>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</si>
  <si>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</si>
  <si>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</si>
  <si>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</si>
  <si>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</si>
  <si>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</si>
  <si>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</si>
  <si>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</si>
  <si>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</si>
  <si>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</si>
  <si>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</si>
  <si>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</si>
  <si>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</si>
  <si>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</si>
  <si>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</si>
  <si>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</si>
  <si>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</si>
  <si>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</si>
  <si>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</si>
  <si>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</si>
  <si>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</si>
  <si>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</si>
  <si>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</si>
  <si>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</si>
  <si>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</si>
  <si>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</si>
  <si>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</si>
  <si>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</si>
  <si>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</si>
  <si>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</si>
  <si>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</si>
  <si>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</si>
  <si>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</si>
  <si>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</si>
  <si>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</si>
  <si>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</si>
  <si>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</si>
  <si>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</si>
  <si>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</si>
  <si>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</si>
  <si>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</si>
  <si>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</si>
  <si>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</si>
  <si>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</si>
  <si>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</si>
  <si>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</si>
  <si>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</si>
  <si>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</si>
  <si>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</si>
  <si>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</si>
  <si>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</si>
  <si>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</si>
  <si>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</si>
  <si>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</si>
  <si>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</si>
  <si>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</si>
  <si>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</si>
  <si>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</si>
  <si>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</si>
  <si>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</si>
  <si>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</si>
  <si>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</si>
  <si>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</si>
  <si>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</si>
  <si>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</si>
  <si>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</si>
  <si>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</si>
  <si>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</si>
  <si>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</si>
  <si>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</si>
  <si>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</si>
  <si>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</si>
  <si>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</si>
  <si>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</si>
  <si>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</si>
  <si>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</si>
  <si>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</si>
  <si>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</si>
  <si>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</si>
  <si>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</si>
  <si>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</si>
  <si>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</si>
  <si>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</si>
  <si>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</si>
  <si>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</si>
  <si>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</si>
  <si>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</si>
  <si>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</si>
  <si>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</si>
  <si>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</si>
  <si>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</si>
  <si>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</si>
  <si>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Wernigerode GmbH</t>
  </si>
  <si>
    <t>9870041700005</t>
  </si>
  <si>
    <t>Am Kupferhammer 38</t>
  </si>
  <si>
    <t>Wernigerode</t>
  </si>
  <si>
    <t>Sebastian Göbel</t>
  </si>
  <si>
    <t>bilanzierung@stadtwerke-wernigerode.de</t>
  </si>
  <si>
    <t>03943/556-354</t>
  </si>
  <si>
    <t>GASPOOL L-Gas</t>
  </si>
  <si>
    <t>GASPOOLNL7004171</t>
  </si>
  <si>
    <t>Meteogroup Deutschland GmbH</t>
  </si>
  <si>
    <t>DE_GBA05</t>
  </si>
  <si>
    <t>DE_GBH05</t>
  </si>
  <si>
    <t>DE_GKO05</t>
  </si>
  <si>
    <t>DE_GGB05</t>
  </si>
  <si>
    <t>DE_GGA05</t>
  </si>
  <si>
    <t>DE_GHA05</t>
  </si>
  <si>
    <t>DE_GMF05</t>
  </si>
  <si>
    <t>DE_GMK05</t>
  </si>
  <si>
    <t>DE_GPD05</t>
  </si>
  <si>
    <t>DE_GBD05</t>
  </si>
  <si>
    <t>DE_GWA05</t>
  </si>
  <si>
    <t>DE_GHD04</t>
  </si>
  <si>
    <t>DE_HEF04</t>
  </si>
  <si>
    <t>DE_HMF04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</si>
</sst>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4" sqref="C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42277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2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38855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GASPOOL L-Gas</v>
      </c>
      <c r="E28" s="38"/>
      <c r="F28" s="11"/>
      <c r="G28" s="2"/>
    </row>
    <row r="29" spans="1:15">
      <c r="B29" s="15"/>
      <c r="C29" s="22" t="s">
        <v>396</v>
      </c>
      <c r="D29" s="45" t="s">
        <v>662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27" sqref="D2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Wernigerode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GASPOOL L-Gas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9870041700005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615</v>
      </c>
      <c r="D13" s="33" t="s">
        <v>617</v>
      </c>
      <c r="E13" s="15"/>
      <c r="H13" s="272" t="s">
        <v>616</v>
      </c>
      <c r="I13" s="27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/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663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613</v>
      </c>
      <c r="D22" s="49" t="s">
        <v>609</v>
      </c>
      <c r="E22" s="15"/>
      <c r="H22" s="268" t="s">
        <v>609</v>
      </c>
      <c r="I22" s="268" t="s">
        <v>610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8" t="s">
        <v>612</v>
      </c>
      <c r="I23" s="8" t="s">
        <v>608</v>
      </c>
      <c r="J23" s="8"/>
      <c r="K23" s="8"/>
      <c r="L23" s="26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8" t="s">
        <v>611</v>
      </c>
      <c r="I24" s="268" t="s">
        <v>618</v>
      </c>
      <c r="J24" s="8"/>
      <c r="K24" s="8"/>
      <c r="L24" s="271" t="s">
        <v>619</v>
      </c>
      <c r="M24" s="271" t="s">
        <v>621</v>
      </c>
      <c r="N24" s="271" t="s">
        <v>620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578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622</v>
      </c>
      <c r="D27" s="42" t="s">
        <v>623</v>
      </c>
      <c r="E27" s="15"/>
      <c r="H27" s="298" t="s">
        <v>623</v>
      </c>
      <c r="I27" s="270" t="s">
        <v>624</v>
      </c>
      <c r="J27" s="270" t="s">
        <v>625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626</v>
      </c>
      <c r="I28" s="271" t="s">
        <v>627</v>
      </c>
      <c r="J28" s="271" t="s">
        <v>628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629</v>
      </c>
      <c r="I29" s="271" t="s">
        <v>630</v>
      </c>
      <c r="J29" s="271" t="s">
        <v>631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577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632</v>
      </c>
      <c r="I32" s="271" t="s">
        <v>633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634</v>
      </c>
      <c r="I33" s="268" t="s">
        <v>629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549</v>
      </c>
      <c r="C35" s="24" t="s">
        <v>497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550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367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658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I50" sqref="I5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Wernigerode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GASPOOL L-Gas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9870041700005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 t="str">
        <f>INDEX('SLP-Verfahren'!D48:D62,'SLP-Temp-Gebiet #01'!F10)</f>
        <v>Wernigerode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664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Meteogroup Deutschland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658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10454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Wernigerode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10454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Sonstiges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Wernigerode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GASPOOL L-Gas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9870041700005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2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I31" sqref="I31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Wernigerode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GASPOOL L-Gas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9870041700005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497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5" t="s">
        <v>648</v>
      </c>
    </row>
    <row r="11" spans="2:26" ht="15.75" thickBot="1">
      <c r="B11" s="139" t="s">
        <v>498</v>
      </c>
      <c r="C11" s="140" t="s">
        <v>511</v>
      </c>
      <c r="D11" s="294" t="s">
        <v>247</v>
      </c>
      <c r="E11" s="164"/>
      <c r="F11" s="296" t="e">
        <f>VLOOKUP($E11,'BDEW-Standard'!$B$3:$M$158,F$9,0)</f>
        <v>#N/A</v>
      </c>
      <c r="H11" s="167" t="e">
        <f>ROUND(VLOOKUP($E11,'BDEW-Standard'!$B$3:$M$158,H$9,0),7)</f>
        <v>#N/A</v>
      </c>
      <c r="I11" s="167" t="e">
        <f>ROUND(VLOOKUP($E11,'BDEW-Standard'!$B$3:$M$158,I$9,0),7)</f>
        <v>#N/A</v>
      </c>
      <c r="J11" s="167" t="e">
        <f>ROUND(VLOOKUP($E11,'BDEW-Standard'!$B$3:$M$158,J$9,0),7)</f>
        <v>#N/A</v>
      </c>
      <c r="K11" s="167" t="e">
        <f>ROUND(VLOOKUP($E11,'BDEW-Standard'!$B$3:$M$158,K$9,0),7)</f>
        <v>#N/A</v>
      </c>
      <c r="L11" s="336" t="e">
        <f>ROUND(VLOOKUP($E11,'BDEW-Standard'!$B$3:$M$158,L$9,0),1)</f>
        <v>#N/A</v>
      </c>
      <c r="M11" s="167" t="e">
        <f>ROUND(VLOOKUP($E11,'BDEW-Standard'!$B$3:$M$158,M$9,0),7)</f>
        <v>#N/A</v>
      </c>
      <c r="N11" s="167" t="e">
        <f>ROUND(VLOOKUP($E11,'BDEW-Standard'!$B$3:$M$158,N$9,0),7)</f>
        <v>#N/A</v>
      </c>
      <c r="O11" s="167" t="e">
        <f>ROUND(VLOOKUP($E11,'BDEW-Standard'!$B$3:$M$158,O$9,0),7)</f>
        <v>#N/A</v>
      </c>
      <c r="P11" s="167" t="e">
        <f>ROUND(VLOOKUP($E11,'BDEW-Standard'!$B$3:$M$158,P$9,0),7)</f>
        <v>#N/A</v>
      </c>
      <c r="Q11" s="337" t="e">
        <f>($H11/(1+($I11/($Q$9-$L11))^$J11)+$K11)+MAX($M11*$Q$9+$N11,$O11*$Q$9+$P11)</f>
        <v>#N/A</v>
      </c>
      <c r="R11" s="168" t="e">
        <f>ROUND(VLOOKUP(MID($E11,4,3),'Wochentag F(WT)'!$B$7:$J$22,R$9,0),4)</f>
        <v>#N/A</v>
      </c>
      <c r="S11" s="168" t="e">
        <f>ROUND(VLOOKUP(MID($E11,4,3),'Wochentag F(WT)'!$B$7:$J$22,S$9,0),4)</f>
        <v>#N/A</v>
      </c>
      <c r="T11" s="168" t="e">
        <f>ROUND(VLOOKUP(MID($E11,4,3),'Wochentag F(WT)'!$B$7:$J$22,T$9,0),4)</f>
        <v>#N/A</v>
      </c>
      <c r="U11" s="168" t="e">
        <f>ROUND(VLOOKUP(MID($E11,4,3),'Wochentag F(WT)'!$B$7:$J$22,U$9,0),4)</f>
        <v>#N/A</v>
      </c>
      <c r="V11" s="168" t="e">
        <f>ROUND(VLOOKUP(MID($E11,4,3),'Wochentag F(WT)'!$B$7:$J$22,V$9,0),4)</f>
        <v>#N/A</v>
      </c>
      <c r="W11" s="168" t="e">
        <f>ROUND(VLOOKUP(MID($E11,4,3),'Wochentag F(WT)'!$B$7:$J$22,W$9,0),4)</f>
        <v>#N/A</v>
      </c>
      <c r="X11" s="169" t="e">
        <f>7-SUM(R11:W11)</f>
        <v>#N/A</v>
      </c>
      <c r="Y11" s="292">
        <v>365.12299999999999</v>
      </c>
    </row>
    <row r="12" spans="2:26">
      <c r="B12" s="141">
        <v>1</v>
      </c>
      <c r="C12" s="142" t="str">
        <f t="shared" ref="C12:C41" si="0">$D$6</f>
        <v>GASPOOL L-Gas</v>
      </c>
      <c r="D12" s="62" t="s">
        <v>247</v>
      </c>
      <c r="E12" s="165" t="s">
        <v>665</v>
      </c>
      <c r="F12" s="297" t="str">
        <f>VLOOKUP($E12,'BDEW-Standard'!$B$3:$M$94,F$9,0)</f>
        <v>BA5</v>
      </c>
      <c r="H12" s="274">
        <f>ROUND(VLOOKUP($E12,'BDEW-Standard'!$B$3:$M$94,H$9,0),7)</f>
        <v>1.2779567000000001</v>
      </c>
      <c r="I12" s="274">
        <f>ROUND(VLOOKUP($E12,'BDEW-Standard'!$B$3:$M$94,I$9,0),7)</f>
        <v>-34.517392000000001</v>
      </c>
      <c r="J12" s="274">
        <f>ROUND(VLOOKUP($E12,'BDEW-Standard'!$B$3:$M$94,J$9,0),7)</f>
        <v>5.7212303000000002</v>
      </c>
      <c r="K12" s="274">
        <f>ROUND(VLOOKUP($E12,'BDEW-Standard'!$B$3:$M$94,K$9,0),7)</f>
        <v>0.54573329999999998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6" si="1">($H12/(1+($I12/($Q$9-$L12))^$J12)+$K12)+MAX($M12*$Q$9+$N12,$O12*$Q$9+$P12)</f>
        <v>1.0484170386064726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GASPOOL L-Gas</v>
      </c>
      <c r="D13" s="62" t="s">
        <v>247</v>
      </c>
      <c r="E13" s="165" t="s">
        <v>666</v>
      </c>
      <c r="F13" s="297" t="str">
        <f>VLOOKUP($E13,'BDEW-Standard'!$B$3:$M$94,F$9,0)</f>
        <v>BH5</v>
      </c>
      <c r="H13" s="274">
        <f>ROUND(VLOOKUP($E13,'BDEW-Standard'!$B$3:$M$94,H$9,0),7)</f>
        <v>2.98</v>
      </c>
      <c r="I13" s="274">
        <f>ROUND(VLOOKUP($E13,'BDEW-Standard'!$B$3:$M$94,I$9,0),7)</f>
        <v>-35.799999999999997</v>
      </c>
      <c r="J13" s="274">
        <f>ROUND(VLOOKUP($E13,'BDEW-Standard'!$B$3:$M$94,J$9,0),7)</f>
        <v>5.6340580999999998</v>
      </c>
      <c r="K13" s="274">
        <f>ROUND(VLOOKUP($E13,'BDEW-Standard'!$B$3:$M$94,K$9,0),7)</f>
        <v>0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1.0340893561256006</v>
      </c>
      <c r="R13" s="275">
        <f>ROUND(VLOOKUP(MID($E13,4,3),'Wochentag F(WT)'!$B$7:$J$22,R$9,0),4)</f>
        <v>0.97670000000000001</v>
      </c>
      <c r="S13" s="275">
        <f>ROUND(VLOOKUP(MID($E13,4,3),'Wochentag F(WT)'!$B$7:$J$22,S$9,0),4)</f>
        <v>1.0388999999999999</v>
      </c>
      <c r="T13" s="275">
        <f>ROUND(VLOOKUP(MID($E13,4,3),'Wochentag F(WT)'!$B$7:$J$22,T$9,0),4)</f>
        <v>1.0027999999999999</v>
      </c>
      <c r="U13" s="275">
        <f>ROUND(VLOOKUP(MID($E13,4,3),'Wochentag F(WT)'!$B$7:$J$22,U$9,0),4)</f>
        <v>1.0162</v>
      </c>
      <c r="V13" s="275">
        <f>ROUND(VLOOKUP(MID($E13,4,3),'Wochentag F(WT)'!$B$7:$J$22,V$9,0),4)</f>
        <v>1.0024</v>
      </c>
      <c r="W13" s="275">
        <f>ROUND(VLOOKUP(MID($E13,4,3),'Wochentag F(WT)'!$B$7:$J$22,W$9,0),4)</f>
        <v>1.0043</v>
      </c>
      <c r="X13" s="276">
        <f t="shared" ref="X13:X26" si="2">7-SUM(R13:W13)</f>
        <v>0.95870000000000122</v>
      </c>
      <c r="Y13" s="293"/>
      <c r="Z13" s="211"/>
    </row>
    <row r="14" spans="2:26" s="143" customFormat="1">
      <c r="B14" s="144">
        <v>3</v>
      </c>
      <c r="C14" s="145" t="str">
        <f t="shared" si="0"/>
        <v>GASPOOL L-Gas</v>
      </c>
      <c r="D14" s="62" t="s">
        <v>247</v>
      </c>
      <c r="E14" s="165" t="s">
        <v>667</v>
      </c>
      <c r="F14" s="297" t="str">
        <f>VLOOKUP($E14,'BDEW-Standard'!$B$3:$M$94,F$9,0)</f>
        <v>KO5</v>
      </c>
      <c r="H14" s="274">
        <f>ROUND(VLOOKUP($E14,'BDEW-Standard'!$B$3:$M$94,H$9,0),7)</f>
        <v>4.3624833000000001</v>
      </c>
      <c r="I14" s="274">
        <f>ROUND(VLOOKUP($E14,'BDEW-Standard'!$B$3:$M$94,I$9,0),7)</f>
        <v>-38.6634022</v>
      </c>
      <c r="J14" s="274">
        <f>ROUND(VLOOKUP($E14,'BDEW-Standard'!$B$3:$M$94,J$9,0),7)</f>
        <v>7.5974643999999998</v>
      </c>
      <c r="K14" s="274">
        <f>ROUND(VLOOKUP($E14,'BDEW-Standard'!$B$3:$M$94,K$9,0),7)</f>
        <v>8.3263999999999994E-3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0.84588853011795484</v>
      </c>
      <c r="R14" s="275">
        <f>ROUND(VLOOKUP(MID($E14,4,3),'Wochentag F(WT)'!$B$7:$J$22,R$9,0),4)</f>
        <v>1.0354000000000001</v>
      </c>
      <c r="S14" s="275">
        <f>ROUND(VLOOKUP(MID($E14,4,3),'Wochentag F(WT)'!$B$7:$J$22,S$9,0),4)</f>
        <v>1.0523</v>
      </c>
      <c r="T14" s="275">
        <f>ROUND(VLOOKUP(MID($E14,4,3),'Wochentag F(WT)'!$B$7:$J$22,T$9,0),4)</f>
        <v>1.0448999999999999</v>
      </c>
      <c r="U14" s="275">
        <f>ROUND(VLOOKUP(MID($E14,4,3),'Wochentag F(WT)'!$B$7:$J$22,U$9,0),4)</f>
        <v>1.0494000000000001</v>
      </c>
      <c r="V14" s="275">
        <f>ROUND(VLOOKUP(MID($E14,4,3),'Wochentag F(WT)'!$B$7:$J$22,V$9,0),4)</f>
        <v>0.98850000000000005</v>
      </c>
      <c r="W14" s="275">
        <f>ROUND(VLOOKUP(MID($E14,4,3),'Wochentag F(WT)'!$B$7:$J$22,W$9,0),4)</f>
        <v>0.88600000000000001</v>
      </c>
      <c r="X14" s="276">
        <f t="shared" si="2"/>
        <v>0.94349999999999934</v>
      </c>
      <c r="Y14" s="293"/>
      <c r="Z14" s="211"/>
    </row>
    <row r="15" spans="2:26" s="143" customFormat="1">
      <c r="B15" s="144">
        <v>4</v>
      </c>
      <c r="C15" s="145" t="str">
        <f t="shared" si="0"/>
        <v>GASPOOL L-Gas</v>
      </c>
      <c r="D15" s="62" t="s">
        <v>247</v>
      </c>
      <c r="E15" s="165" t="s">
        <v>668</v>
      </c>
      <c r="F15" s="297" t="str">
        <f>VLOOKUP($E15,'BDEW-Standard'!$B$3:$M$94,F$9,0)</f>
        <v>GB5</v>
      </c>
      <c r="H15" s="274">
        <f>ROUND(VLOOKUP($E15,'BDEW-Standard'!$B$3:$M$94,H$9,0),7)</f>
        <v>3.9320531999999999</v>
      </c>
      <c r="I15" s="274">
        <f>ROUND(VLOOKUP($E15,'BDEW-Standard'!$B$3:$M$94,I$9,0),7)</f>
        <v>-38.143324800000002</v>
      </c>
      <c r="J15" s="274">
        <f>ROUND(VLOOKUP($E15,'BDEW-Standard'!$B$3:$M$94,J$9,0),7)</f>
        <v>7.6185871000000001</v>
      </c>
      <c r="K15" s="274">
        <f>ROUND(VLOOKUP($E15,'BDEW-Standard'!$B$3:$M$94,K$9,0),7)</f>
        <v>2.30297E-2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0.84030497703104434</v>
      </c>
      <c r="R15" s="275">
        <f>ROUND(VLOOKUP(MID($E15,4,3),'Wochentag F(WT)'!$B$7:$J$22,R$9,0),4)</f>
        <v>0.98970000000000002</v>
      </c>
      <c r="S15" s="275">
        <f>ROUND(VLOOKUP(MID($E15,4,3),'Wochentag F(WT)'!$B$7:$J$22,S$9,0),4)</f>
        <v>0.9627</v>
      </c>
      <c r="T15" s="275">
        <f>ROUND(VLOOKUP(MID($E15,4,3),'Wochentag F(WT)'!$B$7:$J$22,T$9,0),4)</f>
        <v>1.0507</v>
      </c>
      <c r="U15" s="275">
        <f>ROUND(VLOOKUP(MID($E15,4,3),'Wochentag F(WT)'!$B$7:$J$22,U$9,0),4)</f>
        <v>1.0551999999999999</v>
      </c>
      <c r="V15" s="275">
        <f>ROUND(VLOOKUP(MID($E15,4,3),'Wochentag F(WT)'!$B$7:$J$22,V$9,0),4)</f>
        <v>1.0297000000000001</v>
      </c>
      <c r="W15" s="275">
        <f>ROUND(VLOOKUP(MID($E15,4,3),'Wochentag F(WT)'!$B$7:$J$22,W$9,0),4)</f>
        <v>0.97670000000000001</v>
      </c>
      <c r="X15" s="276">
        <f t="shared" si="2"/>
        <v>0.9352999999999998</v>
      </c>
      <c r="Y15" s="293"/>
      <c r="Z15" s="211"/>
    </row>
    <row r="16" spans="2:26" s="143" customFormat="1">
      <c r="B16" s="144">
        <v>5</v>
      </c>
      <c r="C16" s="145" t="str">
        <f t="shared" si="0"/>
        <v>GASPOOL L-Gas</v>
      </c>
      <c r="D16" s="62" t="s">
        <v>247</v>
      </c>
      <c r="E16" s="165" t="s">
        <v>669</v>
      </c>
      <c r="F16" s="297" t="str">
        <f>VLOOKUP($E16,'BDEW-Standard'!$B$3:$M$94,F$9,0)</f>
        <v>GA5</v>
      </c>
      <c r="H16" s="274">
        <f>ROUND(VLOOKUP($E16,'BDEW-Standard'!$B$3:$M$94,H$9,0),7)</f>
        <v>3.3295574999999999</v>
      </c>
      <c r="I16" s="274">
        <f>ROUND(VLOOKUP($E16,'BDEW-Standard'!$B$3:$M$94,I$9,0),7)</f>
        <v>-36.014621099999999</v>
      </c>
      <c r="J16" s="274">
        <f>ROUND(VLOOKUP($E16,'BDEW-Standard'!$B$3:$M$94,J$9,0),7)</f>
        <v>8.7767464999999998</v>
      </c>
      <c r="K16" s="274">
        <f>ROUND(VLOOKUP($E16,'BDEW-Standard'!$B$3:$M$94,K$9,0),7)</f>
        <v>0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0.87123951295728519</v>
      </c>
      <c r="R16" s="275">
        <f>ROUND(VLOOKUP(MID($E16,4,3),'Wochentag F(WT)'!$B$7:$J$22,R$9,0),4)</f>
        <v>0.93220000000000003</v>
      </c>
      <c r="S16" s="275">
        <f>ROUND(VLOOKUP(MID($E16,4,3),'Wochentag F(WT)'!$B$7:$J$22,S$9,0),4)</f>
        <v>0.98939999999999995</v>
      </c>
      <c r="T16" s="275">
        <f>ROUND(VLOOKUP(MID($E16,4,3),'Wochentag F(WT)'!$B$7:$J$22,T$9,0),4)</f>
        <v>1.0033000000000001</v>
      </c>
      <c r="U16" s="275">
        <f>ROUND(VLOOKUP(MID($E16,4,3),'Wochentag F(WT)'!$B$7:$J$22,U$9,0),4)</f>
        <v>1.0108999999999999</v>
      </c>
      <c r="V16" s="275">
        <f>ROUND(VLOOKUP(MID($E16,4,3),'Wochentag F(WT)'!$B$7:$J$22,V$9,0),4)</f>
        <v>1.018</v>
      </c>
      <c r="W16" s="275">
        <f>ROUND(VLOOKUP(MID($E16,4,3),'Wochentag F(WT)'!$B$7:$J$22,W$9,0),4)</f>
        <v>1.0356000000000001</v>
      </c>
      <c r="X16" s="276">
        <f t="shared" si="2"/>
        <v>1.0106000000000002</v>
      </c>
      <c r="Y16" s="293"/>
      <c r="Z16" s="211"/>
    </row>
    <row r="17" spans="2:26" s="143" customFormat="1">
      <c r="B17" s="144">
        <v>6</v>
      </c>
      <c r="C17" s="145" t="str">
        <f t="shared" si="0"/>
        <v>GASPOOL L-Gas</v>
      </c>
      <c r="D17" s="62" t="s">
        <v>247</v>
      </c>
      <c r="E17" s="165" t="s">
        <v>670</v>
      </c>
      <c r="F17" s="297" t="str">
        <f>VLOOKUP($E17,'BDEW-Standard'!$B$3:$M$94,F$9,0)</f>
        <v>HA5</v>
      </c>
      <c r="H17" s="274">
        <f>ROUND(VLOOKUP($E17,'BDEW-Standard'!$B$3:$M$94,H$9,0),7)</f>
        <v>4.8252376000000003</v>
      </c>
      <c r="I17" s="274">
        <f>ROUND(VLOOKUP($E17,'BDEW-Standard'!$B$3:$M$94,I$9,0),7)</f>
        <v>-39.280256399999999</v>
      </c>
      <c r="J17" s="274">
        <f>ROUND(VLOOKUP($E17,'BDEW-Standard'!$B$3:$M$94,J$9,0),7)</f>
        <v>8.6240217000000001</v>
      </c>
      <c r="K17" s="274">
        <f>ROUND(VLOOKUP($E17,'BDEW-Standard'!$B$3:$M$94,K$9,0),7)</f>
        <v>9.9944999999999999E-3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0.7135891999263051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>GASPOOL L-Gas</v>
      </c>
      <c r="D18" s="62" t="s">
        <v>247</v>
      </c>
      <c r="E18" s="165" t="s">
        <v>671</v>
      </c>
      <c r="F18" s="297" t="str">
        <f>VLOOKUP($E18,'BDEW-Standard'!$B$3:$M$94,F$9,0)</f>
        <v>MF5</v>
      </c>
      <c r="H18" s="274">
        <f>ROUND(VLOOKUP($E18,'BDEW-Standard'!$B$3:$M$94,H$9,0),7)</f>
        <v>2.6564405999999998</v>
      </c>
      <c r="I18" s="274">
        <f>ROUND(VLOOKUP($E18,'BDEW-Standard'!$B$3:$M$94,I$9,0),7)</f>
        <v>-35.2516927</v>
      </c>
      <c r="J18" s="274">
        <f>ROUND(VLOOKUP($E18,'BDEW-Standard'!$B$3:$M$94,J$9,0),7)</f>
        <v>6.5182659000000003</v>
      </c>
      <c r="K18" s="274">
        <f>ROUND(VLOOKUP($E18,'BDEW-Standard'!$B$3:$M$94,K$9,0),7)</f>
        <v>8.1205899999999998E-2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1.0038516847509584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3"/>
      <c r="Z18" s="211"/>
    </row>
    <row r="19" spans="2:26" s="143" customFormat="1">
      <c r="B19" s="144">
        <v>8</v>
      </c>
      <c r="C19" s="145" t="str">
        <f t="shared" si="0"/>
        <v>GASPOOL L-Gas</v>
      </c>
      <c r="D19" s="62" t="s">
        <v>247</v>
      </c>
      <c r="E19" s="165" t="s">
        <v>4</v>
      </c>
      <c r="F19" s="297" t="str">
        <f>VLOOKUP($E19,'BDEW-Standard'!$B$3:$M$94,F$9,0)</f>
        <v>HK3</v>
      </c>
      <c r="H19" s="274">
        <f>ROUND(VLOOKUP($E19,'BDEW-Standard'!$B$3:$M$94,H$9,0),7)</f>
        <v>0.40409319999999999</v>
      </c>
      <c r="I19" s="274">
        <f>ROUND(VLOOKUP($E19,'BDEW-Standard'!$B$3:$M$94,I$9,0),7)</f>
        <v>-24.439296800000001</v>
      </c>
      <c r="J19" s="274">
        <f>ROUND(VLOOKUP($E19,'BDEW-Standard'!$B$3:$M$94,J$9,0),7)</f>
        <v>6.5718174999999999</v>
      </c>
      <c r="K19" s="274">
        <f>ROUND(VLOOKUP($E19,'BDEW-Standard'!$B$3:$M$94,K$9,0),7)</f>
        <v>0.71077100000000004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1.0561214000512988</v>
      </c>
      <c r="R19" s="275">
        <f>ROUND(VLOOKUP(MID($E19,4,3),'Wochentag F(WT)'!$B$7:$J$22,R$9,0),4)</f>
        <v>1</v>
      </c>
      <c r="S19" s="275">
        <f>ROUND(VLOOKUP(MID($E19,4,3),'Wochentag F(WT)'!$B$7:$J$22,S$9,0),4)</f>
        <v>1</v>
      </c>
      <c r="T19" s="275">
        <f>ROUND(VLOOKUP(MID($E19,4,3),'Wochentag F(WT)'!$B$7:$J$22,T$9,0),4)</f>
        <v>1</v>
      </c>
      <c r="U19" s="275">
        <f>ROUND(VLOOKUP(MID($E19,4,3),'Wochentag F(WT)'!$B$7:$J$22,U$9,0),4)</f>
        <v>1</v>
      </c>
      <c r="V19" s="275">
        <f>ROUND(VLOOKUP(MID($E19,4,3),'Wochentag F(WT)'!$B$7:$J$22,V$9,0),4)</f>
        <v>1</v>
      </c>
      <c r="W19" s="275">
        <f>ROUND(VLOOKUP(MID($E19,4,3),'Wochentag F(WT)'!$B$7:$J$22,W$9,0),4)</f>
        <v>1</v>
      </c>
      <c r="X19" s="276">
        <f t="shared" si="2"/>
        <v>1</v>
      </c>
      <c r="Y19" s="293"/>
      <c r="Z19" s="211"/>
    </row>
    <row r="20" spans="2:26" s="143" customFormat="1">
      <c r="B20" s="144">
        <v>9</v>
      </c>
      <c r="C20" s="145" t="str">
        <f t="shared" si="0"/>
        <v>GASPOOL L-Gas</v>
      </c>
      <c r="D20" s="62" t="s">
        <v>247</v>
      </c>
      <c r="E20" s="165" t="s">
        <v>672</v>
      </c>
      <c r="F20" s="297" t="str">
        <f>VLOOKUP($E20,'BDEW-Standard'!$B$3:$M$94,F$9,0)</f>
        <v>MK5</v>
      </c>
      <c r="H20" s="274">
        <f>ROUND(VLOOKUP($E20,'BDEW-Standard'!$B$3:$M$94,H$9,0),7)</f>
        <v>3.5862354999999999</v>
      </c>
      <c r="I20" s="274">
        <f>ROUND(VLOOKUP($E20,'BDEW-Standard'!$B$3:$M$94,I$9,0),7)</f>
        <v>-37.080299400000001</v>
      </c>
      <c r="J20" s="274">
        <f>ROUND(VLOOKUP($E20,'BDEW-Standard'!$B$3:$M$94,J$9,0),7)</f>
        <v>8.2420571999999996</v>
      </c>
      <c r="K20" s="274">
        <f>ROUND(VLOOKUP($E20,'BDEW-Standard'!$B$3:$M$94,K$9,0),7)</f>
        <v>1.4600800000000001E-2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0.83553215880324316</v>
      </c>
      <c r="R20" s="275">
        <f>ROUND(VLOOKUP(MID($E20,4,3),'Wochentag F(WT)'!$B$7:$J$22,R$9,0),4)</f>
        <v>1.0699000000000001</v>
      </c>
      <c r="S20" s="275">
        <f>ROUND(VLOOKUP(MID($E20,4,3),'Wochentag F(WT)'!$B$7:$J$22,S$9,0),4)</f>
        <v>1.0365</v>
      </c>
      <c r="T20" s="275">
        <f>ROUND(VLOOKUP(MID($E20,4,3),'Wochentag F(WT)'!$B$7:$J$22,T$9,0),4)</f>
        <v>0.99329999999999996</v>
      </c>
      <c r="U20" s="275">
        <f>ROUND(VLOOKUP(MID($E20,4,3),'Wochentag F(WT)'!$B$7:$J$22,U$9,0),4)</f>
        <v>0.99480000000000002</v>
      </c>
      <c r="V20" s="275">
        <f>ROUND(VLOOKUP(MID($E20,4,3),'Wochentag F(WT)'!$B$7:$J$22,V$9,0),4)</f>
        <v>1.0659000000000001</v>
      </c>
      <c r="W20" s="275">
        <f>ROUND(VLOOKUP(MID($E20,4,3),'Wochentag F(WT)'!$B$7:$J$22,W$9,0),4)</f>
        <v>0.93620000000000003</v>
      </c>
      <c r="X20" s="276">
        <f t="shared" si="2"/>
        <v>0.90339999999999954</v>
      </c>
      <c r="Y20" s="293"/>
      <c r="Z20" s="211"/>
    </row>
    <row r="21" spans="2:26" s="143" customFormat="1">
      <c r="B21" s="144">
        <v>10</v>
      </c>
      <c r="C21" s="145" t="str">
        <f t="shared" si="0"/>
        <v>GASPOOL L-Gas</v>
      </c>
      <c r="D21" s="62" t="s">
        <v>247</v>
      </c>
      <c r="E21" s="165" t="s">
        <v>673</v>
      </c>
      <c r="F21" s="297" t="str">
        <f>VLOOKUP($E21,'BDEW-Standard'!$B$3:$M$94,F$9,0)</f>
        <v>PD5</v>
      </c>
      <c r="H21" s="274">
        <f>ROUND(VLOOKUP($E21,'BDEW-Standard'!$B$3:$M$94,H$9,0),7)</f>
        <v>4.7462814</v>
      </c>
      <c r="I21" s="274">
        <f>ROUND(VLOOKUP($E21,'BDEW-Standard'!$B$3:$M$94,I$9,0),7)</f>
        <v>-38.750429400000002</v>
      </c>
      <c r="J21" s="274">
        <f>ROUND(VLOOKUP($E21,'BDEW-Standard'!$B$3:$M$94,J$9,0),7)</f>
        <v>10.275333399999999</v>
      </c>
      <c r="K21" s="274">
        <f>ROUND(VLOOKUP($E21,'BDEW-Standard'!$B$3:$M$94,K$9,0),7)</f>
        <v>0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0.58254597027316624</v>
      </c>
      <c r="R21" s="275">
        <f>ROUND(VLOOKUP(MID($E21,4,3),'Wochentag F(WT)'!$B$7:$J$22,R$9,0),4)</f>
        <v>1.0214000000000001</v>
      </c>
      <c r="S21" s="275">
        <f>ROUND(VLOOKUP(MID($E21,4,3),'Wochentag F(WT)'!$B$7:$J$22,S$9,0),4)</f>
        <v>1.0866</v>
      </c>
      <c r="T21" s="275">
        <f>ROUND(VLOOKUP(MID($E21,4,3),'Wochentag F(WT)'!$B$7:$J$22,T$9,0),4)</f>
        <v>1.0720000000000001</v>
      </c>
      <c r="U21" s="275">
        <f>ROUND(VLOOKUP(MID($E21,4,3),'Wochentag F(WT)'!$B$7:$J$22,U$9,0),4)</f>
        <v>1.0557000000000001</v>
      </c>
      <c r="V21" s="275">
        <f>ROUND(VLOOKUP(MID($E21,4,3),'Wochentag F(WT)'!$B$7:$J$22,V$9,0),4)</f>
        <v>1.0117</v>
      </c>
      <c r="W21" s="275">
        <f>ROUND(VLOOKUP(MID($E21,4,3),'Wochentag F(WT)'!$B$7:$J$22,W$9,0),4)</f>
        <v>0.90010000000000001</v>
      </c>
      <c r="X21" s="276">
        <f t="shared" si="2"/>
        <v>0.85249999999999915</v>
      </c>
      <c r="Y21" s="293"/>
      <c r="Z21" s="211"/>
    </row>
    <row r="22" spans="2:26" s="143" customFormat="1">
      <c r="B22" s="144">
        <v>11</v>
      </c>
      <c r="C22" s="145" t="str">
        <f t="shared" si="0"/>
        <v>GASPOOL L-Gas</v>
      </c>
      <c r="D22" s="62" t="s">
        <v>247</v>
      </c>
      <c r="E22" s="165" t="s">
        <v>674</v>
      </c>
      <c r="F22" s="297" t="str">
        <f>VLOOKUP($E22,'BDEW-Standard'!$B$3:$M$94,F$9,0)</f>
        <v>BD5</v>
      </c>
      <c r="H22" s="274">
        <f>ROUND(VLOOKUP($E22,'BDEW-Standard'!$B$3:$M$94,H$9,0),7)</f>
        <v>4.5699506000000003</v>
      </c>
      <c r="I22" s="274">
        <f>ROUND(VLOOKUP($E22,'BDEW-Standard'!$B$3:$M$94,I$9,0),7)</f>
        <v>-38.535339200000003</v>
      </c>
      <c r="J22" s="274">
        <f>ROUND(VLOOKUP($E22,'BDEW-Standard'!$B$3:$M$94,J$9,0),7)</f>
        <v>7.5976990999999998</v>
      </c>
      <c r="K22" s="274">
        <f>ROUND(VLOOKUP($E22,'BDEW-Standard'!$B$3:$M$94,K$9,0),7)</f>
        <v>6.6314E-3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0.90200299693660235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3"/>
      <c r="Z22" s="211"/>
    </row>
    <row r="23" spans="2:26" s="143" customFormat="1">
      <c r="B23" s="144">
        <v>12</v>
      </c>
      <c r="C23" s="145" t="str">
        <f t="shared" si="0"/>
        <v>GASPOOL L-Gas</v>
      </c>
      <c r="D23" s="62" t="s">
        <v>247</v>
      </c>
      <c r="E23" s="165" t="s">
        <v>675</v>
      </c>
      <c r="F23" s="297" t="str">
        <f>VLOOKUP($E23,'BDEW-Standard'!$B$3:$M$94,F$9,0)</f>
        <v>WA5</v>
      </c>
      <c r="H23" s="274">
        <f>ROUND(VLOOKUP($E23,'BDEW-Standard'!$B$3:$M$94,H$9,0),7)</f>
        <v>1.2768854000000001</v>
      </c>
      <c r="I23" s="274">
        <f>ROUND(VLOOKUP($E23,'BDEW-Standard'!$B$3:$M$94,I$9,0),7)</f>
        <v>-34.342437099999998</v>
      </c>
      <c r="J23" s="274">
        <f>ROUND(VLOOKUP($E23,'BDEW-Standard'!$B$3:$M$94,J$9,0),7)</f>
        <v>5.4518822</v>
      </c>
      <c r="K23" s="274">
        <f>ROUND(VLOOKUP($E23,'BDEW-Standard'!$B$3:$M$94,K$9,0),7)</f>
        <v>0.55726600000000004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1.0742572390606009</v>
      </c>
      <c r="R23" s="275">
        <f>ROUND(VLOOKUP(MID($E23,4,3),'Wochentag F(WT)'!$B$7:$J$22,R$9,0),4)</f>
        <v>1.2457</v>
      </c>
      <c r="S23" s="275">
        <f>ROUND(VLOOKUP(MID($E23,4,3),'Wochentag F(WT)'!$B$7:$J$22,S$9,0),4)</f>
        <v>1.2615000000000001</v>
      </c>
      <c r="T23" s="275">
        <f>ROUND(VLOOKUP(MID($E23,4,3),'Wochentag F(WT)'!$B$7:$J$22,T$9,0),4)</f>
        <v>1.2706999999999999</v>
      </c>
      <c r="U23" s="275">
        <f>ROUND(VLOOKUP(MID($E23,4,3),'Wochentag F(WT)'!$B$7:$J$22,U$9,0),4)</f>
        <v>1.2430000000000001</v>
      </c>
      <c r="V23" s="275">
        <f>ROUND(VLOOKUP(MID($E23,4,3),'Wochentag F(WT)'!$B$7:$J$22,V$9,0),4)</f>
        <v>1.1275999999999999</v>
      </c>
      <c r="W23" s="275">
        <f>ROUND(VLOOKUP(MID($E23,4,3),'Wochentag F(WT)'!$B$7:$J$22,W$9,0),4)</f>
        <v>0.38769999999999999</v>
      </c>
      <c r="X23" s="276">
        <f t="shared" si="2"/>
        <v>0.46379999999999999</v>
      </c>
      <c r="Y23" s="293"/>
      <c r="Z23" s="211"/>
    </row>
    <row r="24" spans="2:26" s="143" customFormat="1">
      <c r="B24" s="144">
        <v>13</v>
      </c>
      <c r="C24" s="145" t="str">
        <f t="shared" si="0"/>
        <v>GASPOOL L-Gas</v>
      </c>
      <c r="D24" s="62" t="s">
        <v>247</v>
      </c>
      <c r="E24" s="165" t="s">
        <v>676</v>
      </c>
      <c r="F24" s="297" t="str">
        <f>VLOOKUP($E24,'BDEW-Standard'!$B$3:$M$94,F$9,0)</f>
        <v>HD4</v>
      </c>
      <c r="H24" s="274">
        <f>ROUND(VLOOKUP($E24,'BDEW-Standard'!$B$3:$M$94,H$9,0),7)</f>
        <v>3.0084346000000002</v>
      </c>
      <c r="I24" s="274">
        <f>ROUND(VLOOKUP($E24,'BDEW-Standard'!$B$3:$M$94,I$9,0),7)</f>
        <v>-36.607845300000001</v>
      </c>
      <c r="J24" s="274">
        <f>ROUND(VLOOKUP($E24,'BDEW-Standard'!$B$3:$M$94,J$9,0),7)</f>
        <v>7.3211870000000001</v>
      </c>
      <c r="K24" s="274">
        <f>ROUND(VLOOKUP($E24,'BDEW-Standard'!$B$3:$M$94,K$9,0),7)</f>
        <v>0.15496599999999999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0.97302438504000599</v>
      </c>
      <c r="R24" s="275">
        <f>ROUND(VLOOKUP(MID($E24,4,3),'Wochentag F(WT)'!$B$7:$J$22,R$9,0),4)</f>
        <v>1.03</v>
      </c>
      <c r="S24" s="275">
        <f>ROUND(VLOOKUP(MID($E24,4,3),'Wochentag F(WT)'!$B$7:$J$22,S$9,0),4)</f>
        <v>1.03</v>
      </c>
      <c r="T24" s="275">
        <f>ROUND(VLOOKUP(MID($E24,4,3),'Wochentag F(WT)'!$B$7:$J$22,T$9,0),4)</f>
        <v>1.02</v>
      </c>
      <c r="U24" s="275">
        <f>ROUND(VLOOKUP(MID($E24,4,3),'Wochentag F(WT)'!$B$7:$J$22,U$9,0),4)</f>
        <v>1.03</v>
      </c>
      <c r="V24" s="275">
        <f>ROUND(VLOOKUP(MID($E24,4,3),'Wochentag F(WT)'!$B$7:$J$22,V$9,0),4)</f>
        <v>1.01</v>
      </c>
      <c r="W24" s="275">
        <f>ROUND(VLOOKUP(MID($E24,4,3),'Wochentag F(WT)'!$B$7:$J$22,W$9,0),4)</f>
        <v>0.93</v>
      </c>
      <c r="X24" s="276">
        <f t="shared" si="2"/>
        <v>0.95000000000000018</v>
      </c>
      <c r="Y24" s="293"/>
      <c r="Z24" s="211"/>
    </row>
    <row r="25" spans="2:26" s="143" customFormat="1">
      <c r="B25" s="144">
        <v>14</v>
      </c>
      <c r="C25" s="145" t="str">
        <f t="shared" si="0"/>
        <v>GASPOOL L-Gas</v>
      </c>
      <c r="D25" s="62" t="s">
        <v>247</v>
      </c>
      <c r="E25" s="165" t="s">
        <v>677</v>
      </c>
      <c r="F25" s="297" t="str">
        <f>VLOOKUP($E25,'BDEW-Standard'!$B$3:$M$94,F$9,0)</f>
        <v>D14</v>
      </c>
      <c r="H25" s="274">
        <f>ROUND(VLOOKUP($E25,'BDEW-Standard'!$B$3:$M$94,H$9,0),7)</f>
        <v>3.1850190999999999</v>
      </c>
      <c r="I25" s="274">
        <f>ROUND(VLOOKUP($E25,'BDEW-Standard'!$B$3:$M$94,I$9,0),7)</f>
        <v>-37.412415500000002</v>
      </c>
      <c r="J25" s="274">
        <f>ROUND(VLOOKUP($E25,'BDEW-Standard'!$B$3:$M$94,J$9,0),7)</f>
        <v>6.1723179000000004</v>
      </c>
      <c r="K25" s="274">
        <f>ROUND(VLOOKUP($E25,'BDEW-Standard'!$B$3:$M$94,K$9,0),7)</f>
        <v>7.6109599999999999E-2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0.95508749343949439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GASPOOL L-Gas</v>
      </c>
      <c r="D26" s="62" t="s">
        <v>247</v>
      </c>
      <c r="E26" s="165" t="s">
        <v>678</v>
      </c>
      <c r="F26" s="297" t="str">
        <f>VLOOKUP($E26,'BDEW-Standard'!$B$3:$M$94,F$9,0)</f>
        <v>D24</v>
      </c>
      <c r="H26" s="274">
        <f>ROUND(VLOOKUP($E26,'BDEW-Standard'!$B$3:$M$94,H$9,0),7)</f>
        <v>2.5187775000000001</v>
      </c>
      <c r="I26" s="274">
        <f>ROUND(VLOOKUP($E26,'BDEW-Standard'!$B$3:$M$94,I$9,0),7)</f>
        <v>-35.033375399999997</v>
      </c>
      <c r="J26" s="274">
        <f>ROUND(VLOOKUP($E26,'BDEW-Standard'!$B$3:$M$94,J$9,0),7)</f>
        <v>6.2240634000000004</v>
      </c>
      <c r="K26" s="274">
        <f>ROUND(VLOOKUP($E26,'BDEW-Standard'!$B$3:$M$94,K$9,0),7)</f>
        <v>0.10107820000000001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1"/>
        <v>1.0146273685996503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2"/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>GASPOOL L-Gas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GASPOOL L-Gas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GASPOOL L-Gas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GASPOOL L-Gas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GASPOOL L-Gas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GASPOOL L-Gas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GASPOOL L-Gas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GASPOOL L-Gas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GASPOOL L-Gas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GASPOOL L-Gas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GASPOOL L-Gas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GASPOOL L-Gas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GASPOOL L-Gas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GASPOOL L-Gas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GASPOOL L-Gas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6 H12:K26 C13:C33 C34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4" sqref="C4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Wernigerode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GASPOOL L-Gas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9870041700005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583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0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0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545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652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545</v>
      </c>
    </row>
    <row r="2" spans="1:16">
      <c r="A2" s="234"/>
      <c r="B2" s="233" t="s">
        <v>458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Göbel Sebastian</cp:lastModifiedBy>
  <cp:lastPrinted>2015-03-20T22:59:10Z</cp:lastPrinted>
  <dcterms:created xsi:type="dcterms:W3CDTF">2015-01-15T05:25:41Z</dcterms:created>
  <dcterms:modified xsi:type="dcterms:W3CDTF">2015-11-03T09:38:48Z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