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W26" i="7" l="1"/>
  <c r="V26" i="7"/>
  <c r="U26" i="7"/>
  <c r="T26" i="7"/>
  <c r="S26" i="7"/>
  <c r="R26" i="7"/>
  <c r="X26" i="7" s="1"/>
  <c r="P26" i="7"/>
  <c r="O26" i="7"/>
  <c r="N26" i="7"/>
  <c r="M26" i="7"/>
  <c r="L26" i="7"/>
  <c r="K26" i="7"/>
  <c r="J26" i="7"/>
  <c r="I26" i="7"/>
  <c r="H26" i="7"/>
  <c r="Q26" i="7" s="1"/>
  <c r="F26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M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L12" i="7"/>
  <c r="H12" i="7"/>
  <c r="I11" i="7"/>
  <c r="F25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<sst xmlns="http://schemas.openxmlformats.org/spreadsheetml/2006/main" count="1375" uniqueCount="679">
  <si>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</si>
  <si>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</si>
  <si>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</si>
  <si>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</si>
  <si>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</si>
  <si>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</si>
  <si>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</si>
  <si>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</si>
  <si>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</si>
  <si>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</si>
  <si>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</si>
  <si>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</si>
  <si>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</si>
  <si>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</si>
  <si>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</si>
  <si>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</si>
  <si>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</si>
  <si>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</si>
  <si>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</si>
  <si>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</si>
  <si>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</si>
  <si>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</si>
  <si>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</si>
  <si>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</si>
  <si>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</si>
  <si>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</si>
  <si>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</si>
  <si>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</si>
  <si>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</si>
  <si>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</si>
  <si>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</si>
  <si>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</si>
  <si>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</si>
  <si>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</si>
  <si>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</si>
  <si>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</si>
  <si>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</si>
  <si>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</si>
  <si>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</si>
  <si>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</si>
  <si>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</si>
  <si>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</si>
  <si>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</si>
  <si>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</si>
  <si>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</si>
  <si>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</si>
  <si>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</si>
  <si>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</si>
  <si>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</si>
  <si>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</si>
  <si>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</si>
  <si>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</si>
  <si>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</si>
  <si>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</si>
  <si>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</si>
  <si>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</si>
  <si>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</si>
  <si>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</si>
  <si>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</si>
  <si>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</si>
  <si>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</si>
  <si>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</si>
  <si>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</si>
  <si>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</si>
  <si>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</si>
  <si>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</si>
  <si>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</si>
  <si>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</si>
  <si>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</si>
  <si>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</si>
  <si>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</si>
  <si>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</si>
  <si>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</si>
  <si>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</si>
  <si>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</si>
  <si>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</si>
  <si>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</si>
  <si>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</si>
  <si>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</si>
  <si>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</si>
  <si>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</si>
  <si>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</si>
  <si>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</si>
  <si>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</si>
  <si>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</si>
  <si>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</si>
  <si>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</si>
  <si>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</si>
  <si>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</si>
  <si>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</si>
  <si>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</si>
  <si>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</si>
  <si>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</si>
  <si>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</si>
  <si>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</si>
  <si>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</si>
  <si>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</si>
  <si>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</si>
  <si>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</si>
  <si>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</si>
  <si>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</si>
  <si>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</si>
  <si>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</si>
  <si>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</si>
  <si>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</si>
  <si>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</si>
  <si>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</si>
  <si>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</si>
  <si>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</si>
  <si>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</si>
  <si>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</si>
  <si>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</si>
  <si>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</si>
  <si>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</si>
  <si>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</si>
  <si>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</si>
  <si>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</si>
  <si>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</si>
  <si>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</si>
  <si>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</si>
  <si>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</si>
  <si>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</si>
  <si>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</si>
  <si>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</si>
  <si>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</si>
  <si>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</si>
  <si>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</si>
  <si>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</si>
  <si>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</si>
  <si>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</si>
  <si>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</si>
  <si>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</si>
  <si>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</si>
  <si>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</si>
  <si>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</si>
  <si>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</si>
  <si>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</si>
  <si>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</si>
  <si>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</si>
  <si>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</si>
  <si>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</si>
  <si>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</si>
  <si>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</si>
  <si>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</si>
  <si>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</si>
  <si>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</si>
  <si>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</si>
  <si>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</si>
  <si>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</si>
  <si>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</si>
  <si>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</si>
  <si>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</si>
  <si>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</si>
  <si>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</si>
  <si>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</si>
  <si>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</si>
  <si>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</si>
  <si>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</si>
  <si>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</si>
  <si>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</si>
  <si>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</si>
  <si>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</si>
  <si>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</si>
  <si>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</si>
  <si>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</si>
  <si>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</si>
  <si>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</si>
  <si>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</si>
  <si>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</si>
  <si>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</si>
  <si>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</si>
  <si>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</si>
  <si>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</si>
  <si>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</si>
  <si>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</si>
  <si>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</si>
  <si>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</si>
  <si>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</si>
  <si>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</si>
  <si>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</si>
  <si>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</si>
  <si>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</si>
  <si>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</si>
  <si>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</si>
  <si>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</si>
  <si>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</si>
  <si>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</si>
  <si>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</si>
  <si>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</si>
  <si>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</si>
  <si>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</si>
  <si>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</si>
  <si>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</si>
  <si>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</si>
  <si>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</si>
  <si>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</si>
  <si>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</si>
  <si>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</si>
  <si>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</si>
  <si>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</si>
  <si>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</si>
  <si>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</si>
  <si>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</si>
  <si>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</si>
  <si>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</si>
  <si>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</si>
  <si>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</si>
  <si>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</si>
  <si>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</si>
  <si>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</si>
  <si>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</si>
  <si>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</si>
  <si>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</si>
  <si>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</si>
  <si>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</si>
  <si>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</si>
  <si>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</si>
  <si>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</si>
  <si>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</si>
  <si>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</si>
  <si>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</si>
  <si>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</si>
  <si>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</si>
  <si>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</si>
  <si>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</si>
  <si>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</si>
  <si>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</si>
  <si>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</si>
  <si>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</si>
  <si>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</si>
  <si>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</si>
  <si>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</si>
  <si>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</si>
  <si>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</si>
  <si>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</si>
  <si>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</si>
  <si>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</si>
  <si>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</si>
  <si>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</si>
  <si>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</si>
  <si>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</si>
  <si>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</si>
  <si>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</si>
  <si>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</si>
  <si>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</si>
  <si>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</si>
  <si>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</si>
  <si>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</si>
  <si>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</si>
  <si>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</si>
  <si>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</si>
  <si>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</si>
  <si>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</si>
  <si>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</si>
  <si>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</si>
  <si>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</si>
  <si>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</si>
  <si>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</si>
  <si>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</si>
  <si>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</si>
  <si>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</si>
  <si>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</si>
  <si>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</si>
  <si>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</si>
  <si>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</si>
  <si>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</si>
  <si>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</si>
  <si>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</si>
  <si>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</si>
  <si>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</si>
  <si>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</si>
  <si>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</si>
  <si>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</si>
  <si>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</si>
  <si>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</si>
  <si>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</si>
  <si>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</si>
  <si>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</si>
  <si>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</si>
  <si>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</si>
  <si>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</si>
  <si>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</si>
  <si>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</si>
  <si>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</si>
  <si>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</si>
  <si>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</si>
  <si>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</si>
  <si>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</si>
  <si>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</si>
  <si>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</si>
  <si>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</si>
  <si>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</si>
  <si>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</si>
  <si>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</si>
  <si>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</si>
  <si>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</si>
  <si>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</si>
  <si>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</si>
  <si>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</si>
  <si>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</si>
  <si>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</si>
  <si>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</si>
  <si>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</si>
  <si>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</si>
  <si>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</si>
  <si>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</si>
  <si>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</si>
  <si>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</si>
  <si>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</si>
  <si>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</si>
  <si>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</si>
  <si>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</si>
  <si>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</si>
  <si>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</si>
  <si>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</si>
  <si>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</si>
  <si>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</si>
  <si>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</si>
  <si>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</si>
  <si>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</si>
  <si>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</si>
  <si>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</si>
  <si>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</si>
  <si>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</si>
  <si>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</si>
  <si>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</si>
  <si>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</si>
  <si>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</si>
  <si>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</si>
  <si>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</si>
  <si>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</si>
  <si>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</si>
  <si>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</si>
  <si>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</si>
  <si>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</si>
  <si>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</si>
  <si>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</si>
  <si>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</si>
  <si>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</si>
  <si>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</si>
  <si>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</si>
  <si>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</si>
  <si>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</si>
  <si>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</si>
  <si>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</si>
  <si>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</si>
  <si>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</si>
  <si>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</si>
  <si>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</si>
  <si>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</si>
  <si>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</si>
  <si>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</si>
  <si>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</si>
  <si>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</si>
  <si>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</si>
  <si>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</si>
  <si>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</si>
  <si>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</si>
  <si>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</si>
  <si>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</si>
  <si>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</si>
  <si>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</si>
  <si>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</si>
  <si>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</si>
  <si>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</si>
  <si>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</si>
  <si>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</si>
  <si>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</si>
  <si>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</si>
  <si>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</si>
  <si>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</si>
  <si>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</si>
  <si>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</si>
  <si>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</si>
  <si>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</si>
  <si>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</si>
  <si>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</si>
  <si>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</si>
  <si>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</si>
  <si>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</si>
  <si>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</si>
  <si>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</si>
  <si>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</si>
  <si>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</si>
  <si>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</si>
  <si>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</si>
  <si>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</si>
  <si>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</si>
  <si>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</si>
  <si>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</si>
  <si>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</si>
  <si>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</si>
  <si>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</si>
  <si>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</si>
  <si>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</si>
  <si>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</si>
  <si>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</si>
  <si>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</si>
  <si>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</si>
  <si>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</si>
  <si>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</si>
  <si>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</si>
  <si>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</si>
  <si>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</si>
  <si>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</si>
  <si>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</si>
  <si>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</si>
  <si>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</si>
  <si>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</si>
  <si>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</si>
  <si>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</si>
  <si>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</si>
  <si>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</si>
  <si>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</si>
  <si>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</si>
  <si>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</si>
  <si>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</si>
  <si>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</si>
  <si>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</si>
  <si>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</si>
  <si>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</si>
  <si>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</si>
  <si>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</si>
  <si>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</si>
  <si>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</si>
  <si>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</si>
  <si>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</si>
  <si>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</si>
  <si>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</si>
  <si>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</si>
  <si>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</si>
  <si>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</si>
  <si>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</si>
  <si>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</si>
  <si>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</si>
  <si>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</si>
  <si>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</si>
  <si>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</si>
  <si>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</si>
  <si>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</si>
  <si>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</si>
  <si>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</si>
  <si>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</si>
  <si>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</si>
  <si>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</si>
  <si>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</si>
  <si>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</si>
  <si>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</si>
  <si>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</si>
  <si>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</si>
  <si>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</si>
  <si>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</si>
  <si>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</si>
  <si>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</si>
  <si>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</si>
  <si>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</si>
  <si>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</si>
  <si>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</si>
  <si>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</si>
  <si>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</si>
  <si>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</si>
  <si>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</si>
  <si>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</si>
  <si>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</si>
  <si>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</si>
  <si>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</si>
  <si>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</si>
  <si>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</si>
  <si>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</si>
  <si>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</si>
  <si>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</si>
  <si>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</si>
  <si>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</si>
  <si>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</si>
  <si>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</si>
  <si>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</si>
  <si>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</si>
  <si>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</si>
  <si>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</si>
  <si>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</si>
  <si>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</si>
  <si>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</si>
  <si>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</si>
  <si>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</si>
  <si>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</si>
  <si>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</si>
  <si>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</si>
  <si>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</si>
  <si>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</si>
  <si>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</si>
  <si>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</si>
  <si>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</si>
  <si>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</si>
  <si>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</si>
  <si>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</si>
  <si>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</si>
  <si>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</si>
  <si>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</si>
  <si>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</si>
  <si>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</si>
  <si>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</si>
  <si>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</si>
  <si>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</si>
  <si>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</si>
  <si>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</si>
  <si>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</si>
  <si>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</si>
  <si>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</si>
  <si>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</si>
  <si>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</si>
  <si>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</si>
  <si>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</si>
  <si>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</si>
  <si>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</si>
  <si>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</si>
  <si>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</si>
  <si>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</si>
  <si>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</si>
  <si>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</si>
  <si>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</si>
  <si>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</si>
  <si>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</si>
  <si>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</si>
  <si>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</si>
  <si>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</si>
  <si>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</si>
  <si>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</si>
  <si>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</si>
  <si>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</si>
  <si>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</si>
  <si>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</si>
  <si>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</si>
  <si>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</si>
  <si>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</si>
  <si>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</si>
  <si>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</si>
  <si>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</si>
  <si>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</si>
  <si>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</si>
  <si>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</si>
  <si>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</si>
  <si>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</si>
  <si>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</si>
  <si>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</si>
  <si>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</si>
  <si>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</si>
  <si>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</si>
  <si>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</si>
  <si>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</si>
  <si>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</si>
  <si>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</si>
  <si>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</si>
  <si>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</si>
  <si>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</si>
  <si>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</si>
  <si>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</si>
  <si>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</si>
  <si>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</si>
  <si>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</si>
  <si>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</si>
  <si>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</si>
  <si>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</si>
  <si>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</si>
  <si>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</si>
  <si>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</si>
  <si>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</si>
  <si>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</si>
  <si>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</si>
  <si>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</si>
  <si>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</si>
  <si>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</si>
  <si>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</si>
  <si>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</si>
  <si>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</si>
  <si>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</si>
  <si>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</si>
  <si>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</si>
  <si>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</si>
  <si>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</si>
  <si>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</si>
  <si>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</si>
  <si>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</si>
  <si>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</si>
  <si>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</si>
  <si>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</si>
  <si>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</si>
  <si>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</si>
  <si>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</si>
  <si>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</si>
  <si>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</si>
  <si>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</si>
  <si>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</si>
  <si>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</si>
  <si>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</si>
  <si>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</si>
  <si>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</si>
  <si>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</si>
  <si>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</si>
  <si>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</si>
  <si>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</si>
  <si>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</si>
  <si>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</si>
  <si>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</si>
  <si>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</si>
  <si>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</si>
  <si>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</si>
  <si>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</si>
  <si>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</si>
  <si>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</si>
  <si>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</si>
  <si>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</si>
  <si>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</si>
  <si>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</si>
  <si>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</si>
  <si>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</si>
  <si>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</si>
  <si>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</si>
  <si>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</si>
  <si>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</si>
  <si>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</si>
  <si>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</si>
  <si>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</si>
  <si>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</si>
  <si>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</si>
  <si>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</si>
  <si>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</si>
  <si>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</si>
  <si>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</si>
  <si>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</si>
  <si>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</si>
  <si>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</si>
  <si>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</si>
  <si>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</si>
  <si>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</si>
  <si>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</si>
  <si>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</si>
  <si>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</si>
  <si>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</si>
  <si>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</si>
  <si>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</si>
  <si>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</si>
  <si>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</si>
  <si>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</si>
  <si>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</si>
  <si>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</si>
  <si>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</si>
  <si>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</si>
  <si>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</si>
  <si>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</si>
  <si>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</si>
  <si>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</si>
  <si>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</si>
  <si>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</si>
  <si>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</si>
  <si>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</si>
  <si>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Wernigerode GmbH</t>
  </si>
  <si>
    <t>9870041700005</t>
  </si>
  <si>
    <t>Am Kupferhammer 38</t>
  </si>
  <si>
    <t>Wernigerode</t>
  </si>
  <si>
    <t>Sebastian Göbel</t>
  </si>
  <si>
    <t>bilanzierung@stadtwerke-wernigerode.de</t>
  </si>
  <si>
    <t>03943/556-354</t>
  </si>
  <si>
    <t>GASPOOL L-Gas</t>
  </si>
  <si>
    <t>GASPOOLNL7004171</t>
  </si>
  <si>
    <t>Meteogroup Deutschland GmbH</t>
  </si>
  <si>
    <t>DE_HMF34</t>
  </si>
  <si>
    <t>DE_GMK34</t>
  </si>
  <si>
    <t>DE_GBA34</t>
  </si>
  <si>
    <t>DE_GBH34</t>
  </si>
  <si>
    <t>DE_GKO34</t>
  </si>
  <si>
    <t>DE_GGB34</t>
  </si>
  <si>
    <t>DE_GGA34</t>
  </si>
  <si>
    <t>DE_GHA34</t>
  </si>
  <si>
    <t>DE_GMF34</t>
  </si>
  <si>
    <t>DE_GPD34</t>
  </si>
  <si>
    <t>DE_GBD34</t>
  </si>
  <si>
    <t>DE_GWA34</t>
  </si>
  <si>
    <t>DE_GHD34</t>
  </si>
  <si>
    <t>DE_HEF34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</si>
</sst>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8"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338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C4" sqref="C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654</v>
      </c>
      <c r="D4" s="27">
        <v>42277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653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487</v>
      </c>
      <c r="D11" s="332" t="s">
        <v>656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38855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461</v>
      </c>
      <c r="D27" s="42" t="s">
        <v>396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GASPOOL L-Gas</v>
      </c>
      <c r="E28" s="38"/>
      <c r="F28" s="11"/>
      <c r="G28" s="2"/>
    </row>
    <row r="29" spans="1:15">
      <c r="B29" s="15"/>
      <c r="C29" s="22" t="s">
        <v>396</v>
      </c>
      <c r="D29" s="45" t="s">
        <v>662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7" priority="2">
      <formula>IF(CELL("Zeile",D29)&lt;$D$25+CELL("Zeile",$D$29),1,0)</formula>
    </cfRule>
  </conditionalFormatting>
  <conditionalFormatting sqref="D30:D48">
    <cfRule type="expression" dxfId="6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27" sqref="D2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Stadtwerke Wernigerode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GASPOOL L-Gas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9" t="str">
        <f>Netzbetreiber!$D$11</f>
        <v>9870041700005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615</v>
      </c>
      <c r="D13" s="33" t="s">
        <v>617</v>
      </c>
      <c r="E13" s="15"/>
      <c r="H13" s="272" t="s">
        <v>616</v>
      </c>
      <c r="I13" s="272" t="s">
        <v>617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432</v>
      </c>
      <c r="D15" s="42"/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663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575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613</v>
      </c>
      <c r="D22" s="49" t="s">
        <v>609</v>
      </c>
      <c r="E22" s="15"/>
      <c r="H22" s="268" t="s">
        <v>609</v>
      </c>
      <c r="I22" s="268" t="s">
        <v>610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611</v>
      </c>
      <c r="E23" s="15"/>
      <c r="H23" s="268" t="s">
        <v>612</v>
      </c>
      <c r="I23" s="8" t="s">
        <v>608</v>
      </c>
      <c r="J23" s="8"/>
      <c r="K23" s="8"/>
      <c r="L23" s="269"/>
    </row>
    <row r="24" spans="2:16" ht="15" customHeight="1">
      <c r="B24" s="22"/>
      <c r="C24" s="24" t="s">
        <v>614</v>
      </c>
      <c r="D24" s="24" t="str">
        <f>IF(D22=$H$22,L24,IF(D23=$H$24,M24,N24))</f>
        <v>=&gt;  Q(D) = KW  x  h(T, SLP-Typ)  x  F(WT)</v>
      </c>
      <c r="E24" s="15"/>
      <c r="H24" s="268" t="s">
        <v>611</v>
      </c>
      <c r="I24" s="268" t="s">
        <v>618</v>
      </c>
      <c r="J24" s="8"/>
      <c r="K24" s="8"/>
      <c r="L24" s="271" t="s">
        <v>619</v>
      </c>
      <c r="M24" s="271" t="s">
        <v>621</v>
      </c>
      <c r="N24" s="271" t="s">
        <v>620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578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622</v>
      </c>
      <c r="D27" s="42" t="s">
        <v>623</v>
      </c>
      <c r="E27" s="15"/>
      <c r="H27" s="298" t="s">
        <v>623</v>
      </c>
      <c r="I27" s="270" t="s">
        <v>624</v>
      </c>
      <c r="J27" s="270" t="s">
        <v>625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626</v>
      </c>
      <c r="I28" s="271" t="s">
        <v>627</v>
      </c>
      <c r="J28" s="271" t="s">
        <v>628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629</v>
      </c>
      <c r="I29" s="271" t="s">
        <v>630</v>
      </c>
      <c r="J29" s="271" t="s">
        <v>631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577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632</v>
      </c>
      <c r="I32" s="271" t="s">
        <v>633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634</v>
      </c>
      <c r="I33" s="268" t="s">
        <v>629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549</v>
      </c>
      <c r="C35" s="24" t="s">
        <v>497</v>
      </c>
      <c r="D35" s="42">
        <v>15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550</v>
      </c>
      <c r="C37" s="5" t="s">
        <v>366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551</v>
      </c>
      <c r="C40" s="5" t="s">
        <v>367</v>
      </c>
      <c r="D40" s="36">
        <v>500</v>
      </c>
      <c r="E40" s="15" t="s">
        <v>541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540</v>
      </c>
    </row>
    <row r="44" spans="2:39" ht="18" customHeight="1">
      <c r="C44" s="3" t="s">
        <v>542</v>
      </c>
    </row>
    <row r="45" spans="2:39" ht="18" customHeight="1">
      <c r="C45" s="3"/>
    </row>
    <row r="46" spans="2:39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586</v>
      </c>
      <c r="D48" s="45" t="s">
        <v>658</v>
      </c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  <row r="60" spans="3:4" ht="18" customHeight="1">
      <c r="C60" s="22" t="s">
        <v>598</v>
      </c>
      <c r="D60" s="45"/>
    </row>
    <row r="61" spans="3:4" ht="18" customHeight="1">
      <c r="C61" s="22" t="s">
        <v>599</v>
      </c>
      <c r="D61" s="45"/>
    </row>
    <row r="62" spans="3:4" ht="18" customHeight="1">
      <c r="C62" s="22" t="s">
        <v>600</v>
      </c>
      <c r="D62" s="45"/>
    </row>
  </sheetData>
  <sheetProtection sheet="1" objects="1" scenarios="1"/>
  <conditionalFormatting sqref="D15">
    <cfRule type="expression" dxfId="65" priority="21">
      <formula>IF($D$11="Gaspool",1,0)</formula>
    </cfRule>
  </conditionalFormatting>
  <conditionalFormatting sqref="D16">
    <cfRule type="expression" dxfId="64" priority="18">
      <formula>IF($D$11="NCG",1,0)</formula>
    </cfRule>
  </conditionalFormatting>
  <conditionalFormatting sqref="D48:D62">
    <cfRule type="expression" dxfId="63" priority="17">
      <formula>IF(CELL("Zeile",D48)&lt;$D$46+CELL("Zeile",$D$48),1,0)</formula>
    </cfRule>
  </conditionalFormatting>
  <conditionalFormatting sqref="D49:D62">
    <cfRule type="expression" dxfId="62" priority="16">
      <formula>IF(CELL(D49)&lt;$D$36+27,1,0)</formula>
    </cfRule>
  </conditionalFormatting>
  <conditionalFormatting sqref="D23">
    <cfRule type="expression" dxfId="61" priority="15">
      <formula>IF($D$22=$H$22,1,0)</formula>
    </cfRule>
  </conditionalFormatting>
  <conditionalFormatting sqref="D31">
    <cfRule type="expression" dxfId="60" priority="4">
      <formula>IF($D$18="synthetisch",1,0)</formula>
    </cfRule>
  </conditionalFormatting>
  <conditionalFormatting sqref="D28">
    <cfRule type="expression" dxfId="59" priority="2">
      <formula>IF(AND($D$27=$I$27,$D$26=$H$26),1,0)</formula>
    </cfRule>
  </conditionalFormatting>
  <conditionalFormatting sqref="D26:D28">
    <cfRule type="expression" dxfId="58" priority="5">
      <formula>IF($D$18="analytisch",1,0)</formula>
    </cfRule>
  </conditionalFormatting>
  <conditionalFormatting sqref="D27">
    <cfRule type="expression" dxfId="57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I50" sqref="I50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Netzbetreiber!D9</f>
        <v>Stadtwerke Wernigerode GmbH</v>
      </c>
      <c r="F4" s="331"/>
      <c r="G4" s="331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GASPOOL L-Gas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Netzbetreiber!D11</f>
        <v>9870041700005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1</v>
      </c>
      <c r="G10" s="57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34" t="str">
        <f>INDEX('SLP-Verfahren'!D48:D62,'SLP-Temp-Gebiet #01'!F10)</f>
        <v>Wernigerode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584</v>
      </c>
      <c r="D13" s="341"/>
      <c r="E13" s="341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85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651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42" t="s">
        <v>388</v>
      </c>
      <c r="D15" s="342"/>
      <c r="E15" s="89" t="s">
        <v>451</v>
      </c>
      <c r="F15" s="263" t="s">
        <v>71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 t="s">
        <v>664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524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517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504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9" t="str">
        <f>O15</f>
        <v>Meteogroup Deutschland GmbH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658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>
        <v>10454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142</v>
      </c>
      <c r="Q35" s="21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517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Wernigerode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>
        <f>E25</f>
        <v>10454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Sonstiges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527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605</v>
      </c>
      <c r="D69" s="153" t="s">
        <v>606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580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5" priority="28">
      <formula>IF(E$20&lt;=$F$18,1,0)</formula>
    </cfRule>
  </conditionalFormatting>
  <conditionalFormatting sqref="E32:N36">
    <cfRule type="expression" dxfId="54" priority="27">
      <formula>IF(E$30&lt;=$F$28,1,0)</formula>
    </cfRule>
  </conditionalFormatting>
  <conditionalFormatting sqref="E26:F26">
    <cfRule type="expression" dxfId="53" priority="26">
      <formula>IF(E$20&lt;=$F$18,1,0)</formula>
    </cfRule>
  </conditionalFormatting>
  <conditionalFormatting sqref="E26:N26">
    <cfRule type="expression" dxfId="52" priority="25">
      <formula>IF(E$20&lt;=$F$18,1,0)</formula>
    </cfRule>
  </conditionalFormatting>
  <conditionalFormatting sqref="E56:N59">
    <cfRule type="expression" dxfId="51" priority="22">
      <formula>IF(E$54&lt;=$F$52,1,0)</formula>
    </cfRule>
  </conditionalFormatting>
  <conditionalFormatting sqref="E60:N60">
    <cfRule type="expression" dxfId="50" priority="21">
      <formula>IF(E$54&lt;=$F$52,1,0)</formula>
    </cfRule>
  </conditionalFormatting>
  <conditionalFormatting sqref="E66:N68">
    <cfRule type="expression" dxfId="49" priority="15">
      <formula>IF(E$64&lt;=$F$62,1,0)</formula>
    </cfRule>
  </conditionalFormatting>
  <conditionalFormatting sqref="E65:N68 E70:N70">
    <cfRule type="expression" dxfId="48" priority="13">
      <formula>IF(E$64&gt;$F$62,1,0)</formula>
    </cfRule>
  </conditionalFormatting>
  <conditionalFormatting sqref="E56:N60">
    <cfRule type="expression" dxfId="47" priority="12">
      <formula>IF(E$54&gt;$F$52,1,0)</formula>
    </cfRule>
  </conditionalFormatting>
  <conditionalFormatting sqref="E21:N26">
    <cfRule type="expression" dxfId="46" priority="11">
      <formula>IF(E$20&gt;$F$18,1,0)</formula>
    </cfRule>
  </conditionalFormatting>
  <conditionalFormatting sqref="E32:N36">
    <cfRule type="expression" dxfId="45" priority="10">
      <formula>IF(E$30&gt;$F$28,1,0)</formula>
    </cfRule>
  </conditionalFormatting>
  <conditionalFormatting sqref="H11 H8:H9">
    <cfRule type="expression" dxfId="44" priority="9">
      <formula>IF($F$9=1,1,0)</formula>
    </cfRule>
  </conditionalFormatting>
  <conditionalFormatting sqref="E55:N55">
    <cfRule type="expression" dxfId="43" priority="8">
      <formula>IF(E$54&gt;$F$52,1,0)</formula>
    </cfRule>
  </conditionalFormatting>
  <conditionalFormatting sqref="E31:N31">
    <cfRule type="expression" dxfId="42" priority="7">
      <formula>IF(E$30&gt;$F$28,1,0)</formula>
    </cfRule>
  </conditionalFormatting>
  <conditionalFormatting sqref="E70:N70">
    <cfRule type="expression" dxfId="41" priority="6">
      <formula>IF(E$64&lt;=$F$62,1,0)</formula>
    </cfRule>
  </conditionalFormatting>
  <conditionalFormatting sqref="H10">
    <cfRule type="expression" dxfId="40" priority="5">
      <formula>IF($F$9=1,1,0)</formula>
    </cfRule>
  </conditionalFormatting>
  <conditionalFormatting sqref="E69:N69">
    <cfRule type="expression" dxfId="39" priority="2">
      <formula>IF(E$64&lt;=$F$62,1,0)</formula>
    </cfRule>
  </conditionalFormatting>
  <conditionalFormatting sqref="E69:N69">
    <cfRule type="expression" dxfId="38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Netzbetreiber!$D$9</f>
        <v>Stadtwerke Wernigerode GmbH</v>
      </c>
      <c r="F4" s="130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Netzbetreiber!$D$28</f>
        <v>GASPOOL L-Gas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Netzbetreiber!$D$11</f>
        <v>9870041700005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2</v>
      </c>
      <c r="G10" s="57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584</v>
      </c>
      <c r="D13" s="341"/>
      <c r="E13" s="341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85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651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42" t="s">
        <v>388</v>
      </c>
      <c r="D15" s="342"/>
      <c r="E15" s="89" t="s">
        <v>451</v>
      </c>
      <c r="F15" s="263" t="s">
        <v>71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 t="s">
        <v>528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524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517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142</v>
      </c>
      <c r="Q35" s="21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517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527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580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7" priority="18">
      <formula>IF(E$20&lt;=$F$18,1,0)</formula>
    </cfRule>
  </conditionalFormatting>
  <conditionalFormatting sqref="E32:N36">
    <cfRule type="expression" dxfId="36" priority="17">
      <formula>IF(E$30&lt;=$F$28,1,0)</formula>
    </cfRule>
  </conditionalFormatting>
  <conditionalFormatting sqref="E26:F26">
    <cfRule type="expression" dxfId="35" priority="16">
      <formula>IF(E$20&lt;=$F$18,1,0)</formula>
    </cfRule>
  </conditionalFormatting>
  <conditionalFormatting sqref="E26:N26">
    <cfRule type="expression" dxfId="34" priority="15">
      <formula>IF(E$20&lt;=$F$18,1,0)</formula>
    </cfRule>
  </conditionalFormatting>
  <conditionalFormatting sqref="E56:N59">
    <cfRule type="expression" dxfId="33" priority="14">
      <formula>IF(E$54&lt;=$F$52,1,0)</formula>
    </cfRule>
  </conditionalFormatting>
  <conditionalFormatting sqref="E60:N60">
    <cfRule type="expression" dxfId="32" priority="13">
      <formula>IF(E$54&lt;=$F$52,1,0)</formula>
    </cfRule>
  </conditionalFormatting>
  <conditionalFormatting sqref="E66:N68">
    <cfRule type="expression" dxfId="31" priority="12">
      <formula>IF(E$64&lt;=$F$62,1,0)</formula>
    </cfRule>
  </conditionalFormatting>
  <conditionalFormatting sqref="E65:N68 E70:N70">
    <cfRule type="expression" dxfId="30" priority="11">
      <formula>IF(E$64&gt;$F$62,1,0)</formula>
    </cfRule>
  </conditionalFormatting>
  <conditionalFormatting sqref="E56:N60">
    <cfRule type="expression" dxfId="29" priority="10">
      <formula>IF(E$54&gt;$F$52,1,0)</formula>
    </cfRule>
  </conditionalFormatting>
  <conditionalFormatting sqref="E21:N26">
    <cfRule type="expression" dxfId="28" priority="9">
      <formula>IF(E$20&gt;$F$18,1,0)</formula>
    </cfRule>
  </conditionalFormatting>
  <conditionalFormatting sqref="E32:N36">
    <cfRule type="expression" dxfId="27" priority="8">
      <formula>IF(E$30&gt;$F$28,1,0)</formula>
    </cfRule>
  </conditionalFormatting>
  <conditionalFormatting sqref="H11 H8:H9">
    <cfRule type="expression" dxfId="26" priority="7">
      <formula>IF($F$9=1,1,0)</formula>
    </cfRule>
  </conditionalFormatting>
  <conditionalFormatting sqref="E55:N55">
    <cfRule type="expression" dxfId="25" priority="6">
      <formula>IF(E$54&gt;$F$52,1,0)</formula>
    </cfRule>
  </conditionalFormatting>
  <conditionalFormatting sqref="E31:N31">
    <cfRule type="expression" dxfId="24" priority="5">
      <formula>IF(E$30&gt;$F$28,1,0)</formula>
    </cfRule>
  </conditionalFormatting>
  <conditionalFormatting sqref="E70:N70">
    <cfRule type="expression" dxfId="23" priority="4">
      <formula>IF(E$64&lt;=$F$62,1,0)</formula>
    </cfRule>
  </conditionalFormatting>
  <conditionalFormatting sqref="H10">
    <cfRule type="expression" dxfId="22" priority="3">
      <formula>IF($F$9=1,1,0)</formula>
    </cfRule>
  </conditionalFormatting>
  <conditionalFormatting sqref="E69:N69">
    <cfRule type="expression" dxfId="21" priority="2">
      <formula>IF(E$64&lt;=$F$62,1,0)</formula>
    </cfRule>
  </conditionalFormatting>
  <conditionalFormatting sqref="E69:N69">
    <cfRule type="expression" dxfId="2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topLeftCell="B1" zoomScale="80" zoomScaleNormal="80" workbookViewId="0">
      <selection activeCell="F26" sqref="F26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Wernigerode GmbH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GASPOOL L-Gas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9870041700005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497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496</v>
      </c>
      <c r="D10" s="134" t="s">
        <v>147</v>
      </c>
      <c r="E10" s="273" t="s">
        <v>512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295" t="s">
        <v>648</v>
      </c>
    </row>
    <row r="11" spans="2:26" ht="15.75" thickBot="1">
      <c r="B11" s="139" t="s">
        <v>498</v>
      </c>
      <c r="C11" s="140" t="s">
        <v>511</v>
      </c>
      <c r="D11" s="294" t="s">
        <v>247</v>
      </c>
      <c r="E11" s="164" t="s">
        <v>678</v>
      </c>
      <c r="F11" s="296" t="str">
        <f>VLOOKUP($E11,'BDEW-Standard'!$B$3:$M$158,F$9,0)</f>
        <v>1D4</v>
      </c>
      <c r="H11" s="167">
        <f>ROUND(VLOOKUP($E11,'BDEW-Standard'!$B$3:$M$158,H$9,0),7)</f>
        <v>1.3819663</v>
      </c>
      <c r="I11" s="167">
        <f>ROUND(VLOOKUP($E11,'BDEW-Standard'!$B$3:$M$158,I$9,0),7)</f>
        <v>-37.412415500000002</v>
      </c>
      <c r="J11" s="167">
        <f>ROUND(VLOOKUP($E11,'BDEW-Standard'!$B$3:$M$158,J$9,0),7)</f>
        <v>6.1723179000000004</v>
      </c>
      <c r="K11" s="167">
        <f>ROUND(VLOOKUP($E11,'BDEW-Standard'!$B$3:$M$158,K$9,0),7)</f>
        <v>3.9628400000000001E-2</v>
      </c>
      <c r="L11" s="336">
        <f>ROUND(VLOOKUP($E11,'BDEW-Standard'!$B$3:$M$158,L$9,0),1)</f>
        <v>40</v>
      </c>
      <c r="M11" s="167">
        <f>ROUND(VLOOKUP($E11,'BDEW-Standard'!$B$3:$M$158,M$9,0),7)</f>
        <v>-6.7215899999999995E-2</v>
      </c>
      <c r="N11" s="167">
        <f>ROUND(VLOOKUP($E11,'BDEW-Standard'!$B$3:$M$158,N$9,0),7)</f>
        <v>1.1167138000000001</v>
      </c>
      <c r="O11" s="167">
        <f>ROUND(VLOOKUP($E11,'BDEW-Standard'!$B$3:$M$158,O$9,0),7)</f>
        <v>-1.9981999999999999E-3</v>
      </c>
      <c r="P11" s="167">
        <f>ROUND(VLOOKUP($E11,'BDEW-Standard'!$B$3:$M$158,P$9,0),7)</f>
        <v>0.13550699999999999</v>
      </c>
      <c r="Q11" s="337">
        <f>($H11/(1+($I11/($Q$9-$L11))^$J11)+$K11)+MAX($M11*$Q$9+$N11,$O11*$Q$9+$P11)</f>
        <v>0.99999978578617399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292">
        <v>365.12299999999999</v>
      </c>
    </row>
    <row r="12" spans="2:26">
      <c r="B12" s="141">
        <v>1</v>
      </c>
      <c r="C12" s="142" t="str">
        <f t="shared" ref="C12:C41" si="0">$D$6</f>
        <v>GASPOOL L-Gas</v>
      </c>
      <c r="D12" s="62" t="s">
        <v>247</v>
      </c>
      <c r="E12" s="165" t="s">
        <v>667</v>
      </c>
      <c r="F12" s="297" t="str">
        <f>VLOOKUP($E12,'BDEW-Standard'!$B$3:$M$94,F$9,0)</f>
        <v>AB4</v>
      </c>
      <c r="H12" s="274">
        <f>ROUND(VLOOKUP($E12,'BDEW-Standard'!$B$3:$M$94,H$9,0),7)</f>
        <v>0.35376400000000002</v>
      </c>
      <c r="I12" s="274">
        <f>ROUND(VLOOKUP($E12,'BDEW-Standard'!$B$3:$M$94,I$9,0),7)</f>
        <v>-33.35</v>
      </c>
      <c r="J12" s="274">
        <f>ROUND(VLOOKUP($E12,'BDEW-Standard'!$B$3:$M$94,J$9,0),7)</f>
        <v>5.7212303000000002</v>
      </c>
      <c r="K12" s="274">
        <f>ROUND(VLOOKUP($E12,'BDEW-Standard'!$B$3:$M$94,K$9,0),7)</f>
        <v>0.3033305</v>
      </c>
      <c r="L12" s="338">
        <f>ROUND(VLOOKUP($E12,'BDEW-Standard'!$B$3:$M$94,L$9,0),1)</f>
        <v>40</v>
      </c>
      <c r="M12" s="274">
        <f>ROUND(VLOOKUP($E12,'BDEW-Standard'!$B$3:$M$94,M$9,0),7)</f>
        <v>-1.77463E-2</v>
      </c>
      <c r="N12" s="274">
        <f>ROUND(VLOOKUP($E12,'BDEW-Standard'!$B$3:$M$94,N$9,0),7)</f>
        <v>0.68256989999999995</v>
      </c>
      <c r="O12" s="274">
        <f>ROUND(VLOOKUP($E12,'BDEW-Standard'!$B$3:$M$94,O$9,0),7)</f>
        <v>-1.3912E-3</v>
      </c>
      <c r="P12" s="274">
        <f>ROUND(VLOOKUP($E12,'BDEW-Standard'!$B$3:$M$94,P$9,0),7)</f>
        <v>0.54346240000000001</v>
      </c>
      <c r="Q12" s="339">
        <f t="shared" ref="Q12:Q26" si="1">($H12/(1+($I12/($Q$9-$L12))^$J12)+$K12)+MAX($M12*$Q$9+$N12,$O12*$Q$9+$P12)</f>
        <v>1.0000003335127634</v>
      </c>
      <c r="R12" s="275">
        <f>ROUND(VLOOKUP(MID($E12,4,3),'Wochentag F(WT)'!$B$7:$J$22,R$9,0),4)</f>
        <v>1.0848</v>
      </c>
      <c r="S12" s="275">
        <f>ROUND(VLOOKUP(MID($E12,4,3),'Wochentag F(WT)'!$B$7:$J$22,S$9,0),4)</f>
        <v>1.1211</v>
      </c>
      <c r="T12" s="275">
        <f>ROUND(VLOOKUP(MID($E12,4,3),'Wochentag F(WT)'!$B$7:$J$22,T$9,0),4)</f>
        <v>1.0769</v>
      </c>
      <c r="U12" s="275">
        <f>ROUND(VLOOKUP(MID($E12,4,3),'Wochentag F(WT)'!$B$7:$J$22,U$9,0),4)</f>
        <v>1.1353</v>
      </c>
      <c r="V12" s="275">
        <f>ROUND(VLOOKUP(MID($E12,4,3),'Wochentag F(WT)'!$B$7:$J$22,V$9,0),4)</f>
        <v>1.1402000000000001</v>
      </c>
      <c r="W12" s="275">
        <f>ROUND(VLOOKUP(MID($E12,4,3),'Wochentag F(WT)'!$B$7:$J$22,W$9,0),4)</f>
        <v>0.48520000000000002</v>
      </c>
      <c r="X12" s="276">
        <f>7-SUM(R12:W12)</f>
        <v>0.95650000000000013</v>
      </c>
      <c r="Y12" s="293"/>
      <c r="Z12" s="211"/>
    </row>
    <row r="13" spans="2:26" s="143" customFormat="1">
      <c r="B13" s="144">
        <v>2</v>
      </c>
      <c r="C13" s="145" t="str">
        <f t="shared" si="0"/>
        <v>GASPOOL L-Gas</v>
      </c>
      <c r="D13" s="62" t="s">
        <v>247</v>
      </c>
      <c r="E13" s="165" t="s">
        <v>668</v>
      </c>
      <c r="F13" s="297" t="str">
        <f>VLOOKUP($E13,'BDEW-Standard'!$B$3:$M$94,F$9,0)</f>
        <v>HB4</v>
      </c>
      <c r="H13" s="274">
        <f>ROUND(VLOOKUP($E13,'BDEW-Standard'!$B$3:$M$94,H$9,0),7)</f>
        <v>0.98725850000000004</v>
      </c>
      <c r="I13" s="274">
        <f>ROUND(VLOOKUP($E13,'BDEW-Standard'!$B$3:$M$94,I$9,0),7)</f>
        <v>-35.253212400000002</v>
      </c>
      <c r="J13" s="274">
        <f>ROUND(VLOOKUP($E13,'BDEW-Standard'!$B$3:$M$94,J$9,0),7)</f>
        <v>6.0587001000000003</v>
      </c>
      <c r="K13" s="274">
        <f>ROUND(VLOOKUP($E13,'BDEW-Standard'!$B$3:$M$94,K$9,0),7)</f>
        <v>7.9351199999999997E-2</v>
      </c>
      <c r="L13" s="338">
        <f>ROUND(VLOOKUP($E13,'BDEW-Standard'!$B$3:$M$94,L$9,0),1)</f>
        <v>40</v>
      </c>
      <c r="M13" s="274">
        <f>ROUND(VLOOKUP($E13,'BDEW-Standard'!$B$3:$M$94,M$9,0),7)</f>
        <v>-4.9501299999999998E-2</v>
      </c>
      <c r="N13" s="274">
        <f>ROUND(VLOOKUP($E13,'BDEW-Standard'!$B$3:$M$94,N$9,0),7)</f>
        <v>0.96379990000000004</v>
      </c>
      <c r="O13" s="274">
        <f>ROUND(VLOOKUP($E13,'BDEW-Standard'!$B$3:$M$94,O$9,0),7)</f>
        <v>-2.2304E-3</v>
      </c>
      <c r="P13" s="274">
        <f>ROUND(VLOOKUP($E13,'BDEW-Standard'!$B$3:$M$94,P$9,0),7)</f>
        <v>0.22883980000000001</v>
      </c>
      <c r="Q13" s="339">
        <f t="shared" si="1"/>
        <v>1.000000249892145</v>
      </c>
      <c r="R13" s="275">
        <f>ROUND(VLOOKUP(MID($E13,4,3),'Wochentag F(WT)'!$B$7:$J$22,R$9,0),4)</f>
        <v>0.97670000000000001</v>
      </c>
      <c r="S13" s="275">
        <f>ROUND(VLOOKUP(MID($E13,4,3),'Wochentag F(WT)'!$B$7:$J$22,S$9,0),4)</f>
        <v>1.0388999999999999</v>
      </c>
      <c r="T13" s="275">
        <f>ROUND(VLOOKUP(MID($E13,4,3),'Wochentag F(WT)'!$B$7:$J$22,T$9,0),4)</f>
        <v>1.0027999999999999</v>
      </c>
      <c r="U13" s="275">
        <f>ROUND(VLOOKUP(MID($E13,4,3),'Wochentag F(WT)'!$B$7:$J$22,U$9,0),4)</f>
        <v>1.0162</v>
      </c>
      <c r="V13" s="275">
        <f>ROUND(VLOOKUP(MID($E13,4,3),'Wochentag F(WT)'!$B$7:$J$22,V$9,0),4)</f>
        <v>1.0024</v>
      </c>
      <c r="W13" s="275">
        <f>ROUND(VLOOKUP(MID($E13,4,3),'Wochentag F(WT)'!$B$7:$J$22,W$9,0),4)</f>
        <v>1.0043</v>
      </c>
      <c r="X13" s="276">
        <f t="shared" ref="X13:X25" si="2">7-SUM(R13:W13)</f>
        <v>0.95870000000000122</v>
      </c>
      <c r="Y13" s="293"/>
      <c r="Z13" s="211"/>
    </row>
    <row r="14" spans="2:26" s="143" customFormat="1">
      <c r="B14" s="144">
        <v>3</v>
      </c>
      <c r="C14" s="145" t="str">
        <f t="shared" si="0"/>
        <v>GASPOOL L-Gas</v>
      </c>
      <c r="D14" s="62" t="s">
        <v>247</v>
      </c>
      <c r="E14" s="165" t="s">
        <v>669</v>
      </c>
      <c r="F14" s="297" t="str">
        <f>VLOOKUP($E14,'BDEW-Standard'!$B$3:$M$94,F$9,0)</f>
        <v>OK4</v>
      </c>
      <c r="H14" s="274">
        <f>ROUND(VLOOKUP($E14,'BDEW-Standard'!$B$3:$M$94,H$9,0),7)</f>
        <v>1.4256683999999999</v>
      </c>
      <c r="I14" s="274">
        <f>ROUND(VLOOKUP($E14,'BDEW-Standard'!$B$3:$M$94,I$9,0),7)</f>
        <v>-36.659050399999998</v>
      </c>
      <c r="J14" s="274">
        <f>ROUND(VLOOKUP($E14,'BDEW-Standard'!$B$3:$M$94,J$9,0),7)</f>
        <v>7.6083226000000002</v>
      </c>
      <c r="K14" s="274">
        <f>ROUND(VLOOKUP($E14,'BDEW-Standard'!$B$3:$M$94,K$9,0),7)</f>
        <v>3.7111600000000002E-2</v>
      </c>
      <c r="L14" s="338">
        <f>ROUND(VLOOKUP($E14,'BDEW-Standard'!$B$3:$M$94,L$9,0),1)</f>
        <v>40</v>
      </c>
      <c r="M14" s="274">
        <f>ROUND(VLOOKUP($E14,'BDEW-Standard'!$B$3:$M$94,M$9,0),7)</f>
        <v>-8.0935900000000005E-2</v>
      </c>
      <c r="N14" s="274">
        <f>ROUND(VLOOKUP($E14,'BDEW-Standard'!$B$3:$M$94,N$9,0),7)</f>
        <v>1.2364527000000001</v>
      </c>
      <c r="O14" s="274">
        <f>ROUND(VLOOKUP($E14,'BDEW-Standard'!$B$3:$M$94,O$9,0),7)</f>
        <v>-7.628E-4</v>
      </c>
      <c r="P14" s="274">
        <f>ROUND(VLOOKUP($E14,'BDEW-Standard'!$B$3:$M$94,P$9,0),7)</f>
        <v>0.1002979</v>
      </c>
      <c r="Q14" s="339">
        <f t="shared" si="1"/>
        <v>0.99999996033498917</v>
      </c>
      <c r="R14" s="275">
        <f>ROUND(VLOOKUP(MID($E14,4,3),'Wochentag F(WT)'!$B$7:$J$22,R$9,0),4)</f>
        <v>1.0354000000000001</v>
      </c>
      <c r="S14" s="275">
        <f>ROUND(VLOOKUP(MID($E14,4,3),'Wochentag F(WT)'!$B$7:$J$22,S$9,0),4)</f>
        <v>1.0523</v>
      </c>
      <c r="T14" s="275">
        <f>ROUND(VLOOKUP(MID($E14,4,3),'Wochentag F(WT)'!$B$7:$J$22,T$9,0),4)</f>
        <v>1.0448999999999999</v>
      </c>
      <c r="U14" s="275">
        <f>ROUND(VLOOKUP(MID($E14,4,3),'Wochentag F(WT)'!$B$7:$J$22,U$9,0),4)</f>
        <v>1.0494000000000001</v>
      </c>
      <c r="V14" s="275">
        <f>ROUND(VLOOKUP(MID($E14,4,3),'Wochentag F(WT)'!$B$7:$J$22,V$9,0),4)</f>
        <v>0.98850000000000005</v>
      </c>
      <c r="W14" s="275">
        <f>ROUND(VLOOKUP(MID($E14,4,3),'Wochentag F(WT)'!$B$7:$J$22,W$9,0),4)</f>
        <v>0.88600000000000001</v>
      </c>
      <c r="X14" s="276">
        <f t="shared" si="2"/>
        <v>0.94349999999999934</v>
      </c>
      <c r="Y14" s="293"/>
      <c r="Z14" s="211"/>
    </row>
    <row r="15" spans="2:26" s="143" customFormat="1">
      <c r="B15" s="144">
        <v>4</v>
      </c>
      <c r="C15" s="145" t="str">
        <f t="shared" si="0"/>
        <v>GASPOOL L-Gas</v>
      </c>
      <c r="D15" s="62" t="s">
        <v>247</v>
      </c>
      <c r="E15" s="165" t="s">
        <v>670</v>
      </c>
      <c r="F15" s="297" t="str">
        <f>VLOOKUP($E15,'BDEW-Standard'!$B$3:$M$94,F$9,0)</f>
        <v>BG4</v>
      </c>
      <c r="H15" s="274">
        <f>ROUND(VLOOKUP($E15,'BDEW-Standard'!$B$3:$M$94,H$9,0),7)</f>
        <v>1.6266811999999999</v>
      </c>
      <c r="I15" s="274">
        <f>ROUND(VLOOKUP($E15,'BDEW-Standard'!$B$3:$M$94,I$9,0),7)</f>
        <v>-37.882536799999997</v>
      </c>
      <c r="J15" s="274">
        <f>ROUND(VLOOKUP($E15,'BDEW-Standard'!$B$3:$M$94,J$9,0),7)</f>
        <v>6.9836070000000001</v>
      </c>
      <c r="K15" s="274">
        <f>ROUND(VLOOKUP($E15,'BDEW-Standard'!$B$3:$M$94,K$9,0),7)</f>
        <v>2.97136E-2</v>
      </c>
      <c r="L15" s="338">
        <f>ROUND(VLOOKUP($E15,'BDEW-Standard'!$B$3:$M$94,L$9,0),1)</f>
        <v>40</v>
      </c>
      <c r="M15" s="274">
        <f>ROUND(VLOOKUP($E15,'BDEW-Standard'!$B$3:$M$94,M$9,0),7)</f>
        <v>-8.5433300000000004E-2</v>
      </c>
      <c r="N15" s="274">
        <f>ROUND(VLOOKUP($E15,'BDEW-Standard'!$B$3:$M$94,N$9,0),7)</f>
        <v>1.2709629</v>
      </c>
      <c r="O15" s="274">
        <f>ROUND(VLOOKUP($E15,'BDEW-Standard'!$B$3:$M$94,O$9,0),7)</f>
        <v>-1.1318999999999999E-3</v>
      </c>
      <c r="P15" s="274">
        <f>ROUND(VLOOKUP($E15,'BDEW-Standard'!$B$3:$M$94,P$9,0),7)</f>
        <v>9.2812400000000003E-2</v>
      </c>
      <c r="Q15" s="339">
        <f t="shared" si="1"/>
        <v>0.99999990532820671</v>
      </c>
      <c r="R15" s="275">
        <f>ROUND(VLOOKUP(MID($E15,4,3),'Wochentag F(WT)'!$B$7:$J$22,R$9,0),4)</f>
        <v>0.98970000000000002</v>
      </c>
      <c r="S15" s="275">
        <f>ROUND(VLOOKUP(MID($E15,4,3),'Wochentag F(WT)'!$B$7:$J$22,S$9,0),4)</f>
        <v>0.9627</v>
      </c>
      <c r="T15" s="275">
        <f>ROUND(VLOOKUP(MID($E15,4,3),'Wochentag F(WT)'!$B$7:$J$22,T$9,0),4)</f>
        <v>1.0507</v>
      </c>
      <c r="U15" s="275">
        <f>ROUND(VLOOKUP(MID($E15,4,3),'Wochentag F(WT)'!$B$7:$J$22,U$9,0),4)</f>
        <v>1.0551999999999999</v>
      </c>
      <c r="V15" s="275">
        <f>ROUND(VLOOKUP(MID($E15,4,3),'Wochentag F(WT)'!$B$7:$J$22,V$9,0),4)</f>
        <v>1.0297000000000001</v>
      </c>
      <c r="W15" s="275">
        <f>ROUND(VLOOKUP(MID($E15,4,3),'Wochentag F(WT)'!$B$7:$J$22,W$9,0),4)</f>
        <v>0.97670000000000001</v>
      </c>
      <c r="X15" s="276">
        <f t="shared" si="2"/>
        <v>0.9352999999999998</v>
      </c>
      <c r="Y15" s="293"/>
      <c r="Z15" s="211"/>
    </row>
    <row r="16" spans="2:26" s="143" customFormat="1">
      <c r="B16" s="144">
        <v>5</v>
      </c>
      <c r="C16" s="145" t="str">
        <f t="shared" si="0"/>
        <v>GASPOOL L-Gas</v>
      </c>
      <c r="D16" s="62" t="s">
        <v>247</v>
      </c>
      <c r="E16" s="165" t="s">
        <v>671</v>
      </c>
      <c r="F16" s="297" t="str">
        <f>VLOOKUP($E16,'BDEW-Standard'!$B$3:$M$94,F$9,0)</f>
        <v>AG4</v>
      </c>
      <c r="H16" s="274">
        <f>ROUND(VLOOKUP($E16,'BDEW-Standard'!$B$3:$M$94,H$9,0),7)</f>
        <v>1.1848320000000001</v>
      </c>
      <c r="I16" s="274">
        <f>ROUND(VLOOKUP($E16,'BDEW-Standard'!$B$3:$M$94,I$9,0),7)</f>
        <v>-36</v>
      </c>
      <c r="J16" s="274">
        <f>ROUND(VLOOKUP($E16,'BDEW-Standard'!$B$3:$M$94,J$9,0),7)</f>
        <v>7.7368518000000002</v>
      </c>
      <c r="K16" s="274">
        <f>ROUND(VLOOKUP($E16,'BDEW-Standard'!$B$3:$M$94,K$9,0),7)</f>
        <v>7.9310699999999998E-2</v>
      </c>
      <c r="L16" s="338">
        <f>ROUND(VLOOKUP($E16,'BDEW-Standard'!$B$3:$M$94,L$9,0),1)</f>
        <v>40</v>
      </c>
      <c r="M16" s="274">
        <f>ROUND(VLOOKUP($E16,'BDEW-Standard'!$B$3:$M$94,M$9,0),7)</f>
        <v>-6.8738300000000002E-2</v>
      </c>
      <c r="N16" s="274">
        <f>ROUND(VLOOKUP($E16,'BDEW-Standard'!$B$3:$M$94,N$9,0),7)</f>
        <v>1.130857</v>
      </c>
      <c r="O16" s="274">
        <f>ROUND(VLOOKUP($E16,'BDEW-Standard'!$B$3:$M$94,O$9,0),7)</f>
        <v>-6.5870000000000002E-4</v>
      </c>
      <c r="P16" s="274">
        <f>ROUND(VLOOKUP($E16,'BDEW-Standard'!$B$3:$M$94,P$9,0),7)</f>
        <v>0.19103010000000001</v>
      </c>
      <c r="Q16" s="339">
        <f t="shared" si="1"/>
        <v>1.0000000851295017</v>
      </c>
      <c r="R16" s="275">
        <f>ROUND(VLOOKUP(MID($E16,4,3),'Wochentag F(WT)'!$B$7:$J$22,R$9,0),4)</f>
        <v>0.93220000000000003</v>
      </c>
      <c r="S16" s="275">
        <f>ROUND(VLOOKUP(MID($E16,4,3),'Wochentag F(WT)'!$B$7:$J$22,S$9,0),4)</f>
        <v>0.98939999999999995</v>
      </c>
      <c r="T16" s="275">
        <f>ROUND(VLOOKUP(MID($E16,4,3),'Wochentag F(WT)'!$B$7:$J$22,T$9,0),4)</f>
        <v>1.0033000000000001</v>
      </c>
      <c r="U16" s="275">
        <f>ROUND(VLOOKUP(MID($E16,4,3),'Wochentag F(WT)'!$B$7:$J$22,U$9,0),4)</f>
        <v>1.0108999999999999</v>
      </c>
      <c r="V16" s="275">
        <f>ROUND(VLOOKUP(MID($E16,4,3),'Wochentag F(WT)'!$B$7:$J$22,V$9,0),4)</f>
        <v>1.018</v>
      </c>
      <c r="W16" s="275">
        <f>ROUND(VLOOKUP(MID($E16,4,3),'Wochentag F(WT)'!$B$7:$J$22,W$9,0),4)</f>
        <v>1.0356000000000001</v>
      </c>
      <c r="X16" s="276">
        <f t="shared" si="2"/>
        <v>1.0106000000000002</v>
      </c>
      <c r="Y16" s="293"/>
      <c r="Z16" s="211"/>
    </row>
    <row r="17" spans="2:26" s="143" customFormat="1">
      <c r="B17" s="144">
        <v>6</v>
      </c>
      <c r="C17" s="145" t="str">
        <f t="shared" si="0"/>
        <v>GASPOOL L-Gas</v>
      </c>
      <c r="D17" s="62" t="s">
        <v>247</v>
      </c>
      <c r="E17" s="165" t="s">
        <v>672</v>
      </c>
      <c r="F17" s="297" t="str">
        <f>VLOOKUP($E17,'BDEW-Standard'!$B$3:$M$94,F$9,0)</f>
        <v>AH4</v>
      </c>
      <c r="H17" s="274">
        <f>ROUND(VLOOKUP($E17,'BDEW-Standard'!$B$3:$M$94,H$9,0),7)</f>
        <v>1.8398455</v>
      </c>
      <c r="I17" s="274">
        <f>ROUND(VLOOKUP($E17,'BDEW-Standard'!$B$3:$M$94,I$9,0),7)</f>
        <v>-37.828203700000003</v>
      </c>
      <c r="J17" s="274">
        <f>ROUND(VLOOKUP($E17,'BDEW-Standard'!$B$3:$M$94,J$9,0),7)</f>
        <v>8.1593368999999996</v>
      </c>
      <c r="K17" s="274">
        <f>ROUND(VLOOKUP($E17,'BDEW-Standard'!$B$3:$M$94,K$9,0),7)</f>
        <v>2.5971000000000001E-2</v>
      </c>
      <c r="L17" s="338">
        <f>ROUND(VLOOKUP($E17,'BDEW-Standard'!$B$3:$M$94,L$9,0),1)</f>
        <v>40</v>
      </c>
      <c r="M17" s="274">
        <f>ROUND(VLOOKUP($E17,'BDEW-Standard'!$B$3:$M$94,M$9,0),7)</f>
        <v>-0.1069262</v>
      </c>
      <c r="N17" s="274">
        <f>ROUND(VLOOKUP($E17,'BDEW-Standard'!$B$3:$M$94,N$9,0),7)</f>
        <v>1.4552240000000001</v>
      </c>
      <c r="O17" s="274">
        <f>ROUND(VLOOKUP($E17,'BDEW-Standard'!$B$3:$M$94,O$9,0),7)</f>
        <v>-4.9200000000000003E-4</v>
      </c>
      <c r="P17" s="274">
        <f>ROUND(VLOOKUP($E17,'BDEW-Standard'!$B$3:$M$94,P$9,0),7)</f>
        <v>6.9185099999999999E-2</v>
      </c>
      <c r="Q17" s="339">
        <f t="shared" si="1"/>
        <v>0.99999974325043151</v>
      </c>
      <c r="R17" s="275">
        <f>ROUND(VLOOKUP(MID($E17,4,3),'Wochentag F(WT)'!$B$7:$J$22,R$9,0),4)</f>
        <v>1.0358000000000001</v>
      </c>
      <c r="S17" s="275">
        <f>ROUND(VLOOKUP(MID($E17,4,3),'Wochentag F(WT)'!$B$7:$J$22,S$9,0),4)</f>
        <v>1.0232000000000001</v>
      </c>
      <c r="T17" s="275">
        <f>ROUND(VLOOKUP(MID($E17,4,3),'Wochentag F(WT)'!$B$7:$J$22,T$9,0),4)</f>
        <v>1.0251999999999999</v>
      </c>
      <c r="U17" s="275">
        <f>ROUND(VLOOKUP(MID($E17,4,3),'Wochentag F(WT)'!$B$7:$J$22,U$9,0),4)</f>
        <v>1.0295000000000001</v>
      </c>
      <c r="V17" s="275">
        <f>ROUND(VLOOKUP(MID($E17,4,3),'Wochentag F(WT)'!$B$7:$J$22,V$9,0),4)</f>
        <v>1.0253000000000001</v>
      </c>
      <c r="W17" s="275">
        <f>ROUND(VLOOKUP(MID($E17,4,3),'Wochentag F(WT)'!$B$7:$J$22,W$9,0),4)</f>
        <v>0.96750000000000003</v>
      </c>
      <c r="X17" s="276">
        <f t="shared" si="2"/>
        <v>0.89350000000000041</v>
      </c>
      <c r="Y17" s="293"/>
      <c r="Z17" s="211"/>
    </row>
    <row r="18" spans="2:26" s="143" customFormat="1">
      <c r="B18" s="144">
        <v>7</v>
      </c>
      <c r="C18" s="145" t="str">
        <f t="shared" si="0"/>
        <v>GASPOOL L-Gas</v>
      </c>
      <c r="D18" s="62" t="s">
        <v>247</v>
      </c>
      <c r="E18" s="165" t="s">
        <v>673</v>
      </c>
      <c r="F18" s="297" t="str">
        <f>VLOOKUP($E18,'BDEW-Standard'!$B$3:$M$94,F$9,0)</f>
        <v>FM4</v>
      </c>
      <c r="H18" s="274">
        <f>ROUND(VLOOKUP($E18,'BDEW-Standard'!$B$3:$M$94,H$9,0),7)</f>
        <v>1.0443538000000001</v>
      </c>
      <c r="I18" s="274">
        <f>ROUND(VLOOKUP($E18,'BDEW-Standard'!$B$3:$M$94,I$9,0),7)</f>
        <v>-35.033375399999997</v>
      </c>
      <c r="J18" s="274">
        <f>ROUND(VLOOKUP($E18,'BDEW-Standard'!$B$3:$M$94,J$9,0),7)</f>
        <v>6.2240634000000004</v>
      </c>
      <c r="K18" s="274">
        <f>ROUND(VLOOKUP($E18,'BDEW-Standard'!$B$3:$M$94,K$9,0),7)</f>
        <v>5.0291700000000002E-2</v>
      </c>
      <c r="L18" s="338">
        <f>ROUND(VLOOKUP($E18,'BDEW-Standard'!$B$3:$M$94,L$9,0),1)</f>
        <v>40</v>
      </c>
      <c r="M18" s="274">
        <f>ROUND(VLOOKUP($E18,'BDEW-Standard'!$B$3:$M$94,M$9,0),7)</f>
        <v>-5.3582999999999999E-2</v>
      </c>
      <c r="N18" s="274">
        <f>ROUND(VLOOKUP($E18,'BDEW-Standard'!$B$3:$M$94,N$9,0),7)</f>
        <v>0.99959010000000004</v>
      </c>
      <c r="O18" s="274">
        <f>ROUND(VLOOKUP($E18,'BDEW-Standard'!$B$3:$M$94,O$9,0),7)</f>
        <v>-2.1757999999999999E-3</v>
      </c>
      <c r="P18" s="274">
        <f>ROUND(VLOOKUP($E18,'BDEW-Standard'!$B$3:$M$94,P$9,0),7)</f>
        <v>0.1633299</v>
      </c>
      <c r="Q18" s="339">
        <f t="shared" si="1"/>
        <v>1.0000001838008261</v>
      </c>
      <c r="R18" s="275">
        <f>ROUND(VLOOKUP(MID($E18,4,3),'Wochentag F(WT)'!$B$7:$J$22,R$9,0),4)</f>
        <v>1.0354000000000001</v>
      </c>
      <c r="S18" s="275">
        <f>ROUND(VLOOKUP(MID($E18,4,3),'Wochentag F(WT)'!$B$7:$J$22,S$9,0),4)</f>
        <v>1.0523</v>
      </c>
      <c r="T18" s="275">
        <f>ROUND(VLOOKUP(MID($E18,4,3),'Wochentag F(WT)'!$B$7:$J$22,T$9,0),4)</f>
        <v>1.0448999999999999</v>
      </c>
      <c r="U18" s="275">
        <f>ROUND(VLOOKUP(MID($E18,4,3),'Wochentag F(WT)'!$B$7:$J$22,U$9,0),4)</f>
        <v>1.0494000000000001</v>
      </c>
      <c r="V18" s="275">
        <f>ROUND(VLOOKUP(MID($E18,4,3),'Wochentag F(WT)'!$B$7:$J$22,V$9,0),4)</f>
        <v>0.98850000000000005</v>
      </c>
      <c r="W18" s="275">
        <f>ROUND(VLOOKUP(MID($E18,4,3),'Wochentag F(WT)'!$B$7:$J$22,W$9,0),4)</f>
        <v>0.88600000000000001</v>
      </c>
      <c r="X18" s="276">
        <f t="shared" si="2"/>
        <v>0.94349999999999934</v>
      </c>
      <c r="Y18" s="293"/>
      <c r="Z18" s="211"/>
    </row>
    <row r="19" spans="2:26" s="143" customFormat="1">
      <c r="B19" s="144">
        <v>8</v>
      </c>
      <c r="C19" s="145" t="str">
        <f t="shared" si="0"/>
        <v>GASPOOL L-Gas</v>
      </c>
      <c r="D19" s="62" t="s">
        <v>247</v>
      </c>
      <c r="E19" s="165" t="s">
        <v>4</v>
      </c>
      <c r="F19" s="297" t="str">
        <f>VLOOKUP($E19,'BDEW-Standard'!$B$3:$M$94,F$9,0)</f>
        <v>HK3</v>
      </c>
      <c r="H19" s="274">
        <f>ROUND(VLOOKUP($E19,'BDEW-Standard'!$B$3:$M$94,H$9,0),7)</f>
        <v>0.40409319999999999</v>
      </c>
      <c r="I19" s="274">
        <f>ROUND(VLOOKUP($E19,'BDEW-Standard'!$B$3:$M$94,I$9,0),7)</f>
        <v>-24.439296800000001</v>
      </c>
      <c r="J19" s="274">
        <f>ROUND(VLOOKUP($E19,'BDEW-Standard'!$B$3:$M$94,J$9,0),7)</f>
        <v>6.5718174999999999</v>
      </c>
      <c r="K19" s="274">
        <f>ROUND(VLOOKUP($E19,'BDEW-Standard'!$B$3:$M$94,K$9,0),7)</f>
        <v>0.71077100000000004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1.0561214000512988</v>
      </c>
      <c r="R19" s="275">
        <f>ROUND(VLOOKUP(MID($E19,4,3),'Wochentag F(WT)'!$B$7:$J$22,R$9,0),4)</f>
        <v>1</v>
      </c>
      <c r="S19" s="275">
        <f>ROUND(VLOOKUP(MID($E19,4,3),'Wochentag F(WT)'!$B$7:$J$22,S$9,0),4)</f>
        <v>1</v>
      </c>
      <c r="T19" s="275">
        <f>ROUND(VLOOKUP(MID($E19,4,3),'Wochentag F(WT)'!$B$7:$J$22,T$9,0),4)</f>
        <v>1</v>
      </c>
      <c r="U19" s="275">
        <f>ROUND(VLOOKUP(MID($E19,4,3),'Wochentag F(WT)'!$B$7:$J$22,U$9,0),4)</f>
        <v>1</v>
      </c>
      <c r="V19" s="275">
        <f>ROUND(VLOOKUP(MID($E19,4,3),'Wochentag F(WT)'!$B$7:$J$22,V$9,0),4)</f>
        <v>1</v>
      </c>
      <c r="W19" s="275">
        <f>ROUND(VLOOKUP(MID($E19,4,3),'Wochentag F(WT)'!$B$7:$J$22,W$9,0),4)</f>
        <v>1</v>
      </c>
      <c r="X19" s="276">
        <f t="shared" si="2"/>
        <v>1</v>
      </c>
      <c r="Y19" s="293"/>
      <c r="Z19" s="211"/>
    </row>
    <row r="20" spans="2:26" s="143" customFormat="1">
      <c r="B20" s="144">
        <v>9</v>
      </c>
      <c r="C20" s="145" t="str">
        <f t="shared" si="0"/>
        <v>GASPOOL L-Gas</v>
      </c>
      <c r="D20" s="62" t="s">
        <v>247</v>
      </c>
      <c r="E20" s="165" t="s">
        <v>666</v>
      </c>
      <c r="F20" s="297" t="str">
        <f>VLOOKUP($E20,'BDEW-Standard'!$B$3:$M$94,F$9,0)</f>
        <v>KM4</v>
      </c>
      <c r="H20" s="274">
        <f>ROUND(VLOOKUP($E20,'BDEW-Standard'!$B$3:$M$94,H$9,0),7)</f>
        <v>1.3284913</v>
      </c>
      <c r="I20" s="274">
        <f>ROUND(VLOOKUP($E20,'BDEW-Standard'!$B$3:$M$94,I$9,0),7)</f>
        <v>-35.871506199999999</v>
      </c>
      <c r="J20" s="274">
        <f>ROUND(VLOOKUP($E20,'BDEW-Standard'!$B$3:$M$94,J$9,0),7)</f>
        <v>7.5186828999999999</v>
      </c>
      <c r="K20" s="274">
        <f>ROUND(VLOOKUP($E20,'BDEW-Standard'!$B$3:$M$94,K$9,0),7)</f>
        <v>1.7554E-2</v>
      </c>
      <c r="L20" s="338">
        <f>ROUND(VLOOKUP($E20,'BDEW-Standard'!$B$3:$M$94,L$9,0),1)</f>
        <v>40</v>
      </c>
      <c r="M20" s="274">
        <f>ROUND(VLOOKUP($E20,'BDEW-Standard'!$B$3:$M$94,M$9,0),7)</f>
        <v>-7.5898300000000002E-2</v>
      </c>
      <c r="N20" s="274">
        <f>ROUND(VLOOKUP($E20,'BDEW-Standard'!$B$3:$M$94,N$9,0),7)</f>
        <v>1.1942554999999999</v>
      </c>
      <c r="O20" s="274">
        <f>ROUND(VLOOKUP($E20,'BDEW-Standard'!$B$3:$M$94,O$9,0),7)</f>
        <v>-8.9800000000000004E-4</v>
      </c>
      <c r="P20" s="274">
        <f>ROUND(VLOOKUP($E20,'BDEW-Standard'!$B$3:$M$94,P$9,0),7)</f>
        <v>6.0333699999999997E-2</v>
      </c>
      <c r="Q20" s="339">
        <f t="shared" si="1"/>
        <v>0.99999979406904638</v>
      </c>
      <c r="R20" s="275">
        <f>ROUND(VLOOKUP(MID($E20,4,3),'Wochentag F(WT)'!$B$7:$J$22,R$9,0),4)</f>
        <v>1.0699000000000001</v>
      </c>
      <c r="S20" s="275">
        <f>ROUND(VLOOKUP(MID($E20,4,3),'Wochentag F(WT)'!$B$7:$J$22,S$9,0),4)</f>
        <v>1.0365</v>
      </c>
      <c r="T20" s="275">
        <f>ROUND(VLOOKUP(MID($E20,4,3),'Wochentag F(WT)'!$B$7:$J$22,T$9,0),4)</f>
        <v>0.99329999999999996</v>
      </c>
      <c r="U20" s="275">
        <f>ROUND(VLOOKUP(MID($E20,4,3),'Wochentag F(WT)'!$B$7:$J$22,U$9,0),4)</f>
        <v>0.99480000000000002</v>
      </c>
      <c r="V20" s="275">
        <f>ROUND(VLOOKUP(MID($E20,4,3),'Wochentag F(WT)'!$B$7:$J$22,V$9,0),4)</f>
        <v>1.0659000000000001</v>
      </c>
      <c r="W20" s="275">
        <f>ROUND(VLOOKUP(MID($E20,4,3),'Wochentag F(WT)'!$B$7:$J$22,W$9,0),4)</f>
        <v>0.93620000000000003</v>
      </c>
      <c r="X20" s="276">
        <f t="shared" si="2"/>
        <v>0.90339999999999954</v>
      </c>
      <c r="Y20" s="293"/>
      <c r="Z20" s="211"/>
    </row>
    <row r="21" spans="2:26" s="143" customFormat="1">
      <c r="B21" s="144">
        <v>10</v>
      </c>
      <c r="C21" s="145" t="str">
        <f t="shared" si="0"/>
        <v>GASPOOL L-Gas</v>
      </c>
      <c r="D21" s="62" t="s">
        <v>247</v>
      </c>
      <c r="E21" s="165" t="s">
        <v>674</v>
      </c>
      <c r="F21" s="297" t="str">
        <f>VLOOKUP($E21,'BDEW-Standard'!$B$3:$M$94,F$9,0)</f>
        <v>DP4</v>
      </c>
      <c r="H21" s="274">
        <f>ROUND(VLOOKUP($E21,'BDEW-Standard'!$B$3:$M$94,H$9,0),7)</f>
        <v>1.8834609</v>
      </c>
      <c r="I21" s="274">
        <f>ROUND(VLOOKUP($E21,'BDEW-Standard'!$B$3:$M$94,I$9,0),7)</f>
        <v>-37</v>
      </c>
      <c r="J21" s="274">
        <f>ROUND(VLOOKUP($E21,'BDEW-Standard'!$B$3:$M$94,J$9,0),7)</f>
        <v>10.2405021</v>
      </c>
      <c r="K21" s="274">
        <f>ROUND(VLOOKUP($E21,'BDEW-Standard'!$B$3:$M$94,K$9,0),7)</f>
        <v>2.7546999999999999E-2</v>
      </c>
      <c r="L21" s="338">
        <f>ROUND(VLOOKUP($E21,'BDEW-Standard'!$B$3:$M$94,L$9,0),1)</f>
        <v>40</v>
      </c>
      <c r="M21" s="274">
        <f>ROUND(VLOOKUP($E21,'BDEW-Standard'!$B$3:$M$94,M$9,0),7)</f>
        <v>-0.12531</v>
      </c>
      <c r="N21" s="274">
        <f>ROUND(VLOOKUP($E21,'BDEW-Standard'!$B$3:$M$94,N$9,0),7)</f>
        <v>1.6275999000000001</v>
      </c>
      <c r="O21" s="274">
        <f>ROUND(VLOOKUP($E21,'BDEW-Standard'!$B$3:$M$94,O$9,0),7)</f>
        <v>-1.105E-4</v>
      </c>
      <c r="P21" s="274">
        <f>ROUND(VLOOKUP($E21,'BDEW-Standard'!$B$3:$M$94,P$9,0),7)</f>
        <v>6.3511899999999996E-2</v>
      </c>
      <c r="Q21" s="339">
        <f t="shared" si="1"/>
        <v>0.99999976624159248</v>
      </c>
      <c r="R21" s="275">
        <f>ROUND(VLOOKUP(MID($E21,4,3),'Wochentag F(WT)'!$B$7:$J$22,R$9,0),4)</f>
        <v>1.0214000000000001</v>
      </c>
      <c r="S21" s="275">
        <f>ROUND(VLOOKUP(MID($E21,4,3),'Wochentag F(WT)'!$B$7:$J$22,S$9,0),4)</f>
        <v>1.0866</v>
      </c>
      <c r="T21" s="275">
        <f>ROUND(VLOOKUP(MID($E21,4,3),'Wochentag F(WT)'!$B$7:$J$22,T$9,0),4)</f>
        <v>1.0720000000000001</v>
      </c>
      <c r="U21" s="275">
        <f>ROUND(VLOOKUP(MID($E21,4,3),'Wochentag F(WT)'!$B$7:$J$22,U$9,0),4)</f>
        <v>1.0557000000000001</v>
      </c>
      <c r="V21" s="275">
        <f>ROUND(VLOOKUP(MID($E21,4,3),'Wochentag F(WT)'!$B$7:$J$22,V$9,0),4)</f>
        <v>1.0117</v>
      </c>
      <c r="W21" s="275">
        <f>ROUND(VLOOKUP(MID($E21,4,3),'Wochentag F(WT)'!$B$7:$J$22,W$9,0),4)</f>
        <v>0.90010000000000001</v>
      </c>
      <c r="X21" s="276">
        <f t="shared" si="2"/>
        <v>0.85249999999999915</v>
      </c>
      <c r="Y21" s="293"/>
      <c r="Z21" s="211"/>
    </row>
    <row r="22" spans="2:26" s="143" customFormat="1">
      <c r="B22" s="144">
        <v>11</v>
      </c>
      <c r="C22" s="145" t="str">
        <f t="shared" si="0"/>
        <v>GASPOOL L-Gas</v>
      </c>
      <c r="D22" s="62" t="s">
        <v>247</v>
      </c>
      <c r="E22" s="165" t="s">
        <v>675</v>
      </c>
      <c r="F22" s="297" t="str">
        <f>VLOOKUP($E22,'BDEW-Standard'!$B$3:$M$94,F$9,0)</f>
        <v>DB4</v>
      </c>
      <c r="H22" s="274">
        <f>ROUND(VLOOKUP($E22,'BDEW-Standard'!$B$3:$M$94,H$9,0),7)</f>
        <v>1.5175791999999999</v>
      </c>
      <c r="I22" s="274">
        <f>ROUND(VLOOKUP($E22,'BDEW-Standard'!$B$3:$M$94,I$9,0),7)</f>
        <v>-37.5</v>
      </c>
      <c r="J22" s="274">
        <f>ROUND(VLOOKUP($E22,'BDEW-Standard'!$B$3:$M$94,J$9,0),7)</f>
        <v>6.8</v>
      </c>
      <c r="K22" s="274">
        <f>ROUND(VLOOKUP($E22,'BDEW-Standard'!$B$3:$M$94,K$9,0),7)</f>
        <v>2.9580100000000002E-2</v>
      </c>
      <c r="L22" s="338">
        <f>ROUND(VLOOKUP($E22,'BDEW-Standard'!$B$3:$M$94,L$9,0),1)</f>
        <v>40</v>
      </c>
      <c r="M22" s="274">
        <f>ROUND(VLOOKUP($E22,'BDEW-Standard'!$B$3:$M$94,M$9,0),7)</f>
        <v>-7.8855900000000007E-2</v>
      </c>
      <c r="N22" s="274">
        <f>ROUND(VLOOKUP($E22,'BDEW-Standard'!$B$3:$M$94,N$9,0),7)</f>
        <v>1.2161249999999999</v>
      </c>
      <c r="O22" s="274">
        <f>ROUND(VLOOKUP($E22,'BDEW-Standard'!$B$3:$M$94,O$9,0),7)</f>
        <v>-1.3133999999999999E-3</v>
      </c>
      <c r="P22" s="274">
        <f>ROUND(VLOOKUP($E22,'BDEW-Standard'!$B$3:$M$94,P$9,0),7)</f>
        <v>9.6872100000000003E-2</v>
      </c>
      <c r="Q22" s="339">
        <f t="shared" si="1"/>
        <v>1.0000002163173649</v>
      </c>
      <c r="R22" s="275">
        <f>ROUND(VLOOKUP(MID($E22,4,3),'Wochentag F(WT)'!$B$7:$J$22,R$9,0),4)</f>
        <v>1.1052</v>
      </c>
      <c r="S22" s="275">
        <f>ROUND(VLOOKUP(MID($E22,4,3),'Wochentag F(WT)'!$B$7:$J$22,S$9,0),4)</f>
        <v>1.0857000000000001</v>
      </c>
      <c r="T22" s="275">
        <f>ROUND(VLOOKUP(MID($E22,4,3),'Wochentag F(WT)'!$B$7:$J$22,T$9,0),4)</f>
        <v>1.0378000000000001</v>
      </c>
      <c r="U22" s="275">
        <f>ROUND(VLOOKUP(MID($E22,4,3),'Wochentag F(WT)'!$B$7:$J$22,U$9,0),4)</f>
        <v>1.0622</v>
      </c>
      <c r="V22" s="275">
        <f>ROUND(VLOOKUP(MID($E22,4,3),'Wochentag F(WT)'!$B$7:$J$22,V$9,0),4)</f>
        <v>1.0266</v>
      </c>
      <c r="W22" s="275">
        <f>ROUND(VLOOKUP(MID($E22,4,3),'Wochentag F(WT)'!$B$7:$J$22,W$9,0),4)</f>
        <v>0.76290000000000002</v>
      </c>
      <c r="X22" s="276">
        <f t="shared" si="2"/>
        <v>0.91959999999999997</v>
      </c>
      <c r="Y22" s="293"/>
      <c r="Z22" s="211"/>
    </row>
    <row r="23" spans="2:26" s="143" customFormat="1">
      <c r="B23" s="144">
        <v>12</v>
      </c>
      <c r="C23" s="145" t="str">
        <f t="shared" si="0"/>
        <v>GASPOOL L-Gas</v>
      </c>
      <c r="D23" s="62" t="s">
        <v>247</v>
      </c>
      <c r="E23" s="165" t="s">
        <v>676</v>
      </c>
      <c r="F23" s="297" t="str">
        <f>VLOOKUP($E23,'BDEW-Standard'!$B$3:$M$94,F$9,0)</f>
        <v>AW4</v>
      </c>
      <c r="H23" s="274">
        <f>ROUND(VLOOKUP($E23,'BDEW-Standard'!$B$3:$M$94,H$9,0),7)</f>
        <v>0.39253389999999999</v>
      </c>
      <c r="I23" s="274">
        <f>ROUND(VLOOKUP($E23,'BDEW-Standard'!$B$3:$M$94,I$9,0),7)</f>
        <v>-35.299999999999997</v>
      </c>
      <c r="J23" s="274">
        <f>ROUND(VLOOKUP($E23,'BDEW-Standard'!$B$3:$M$94,J$9,0),7)</f>
        <v>4.8662747</v>
      </c>
      <c r="K23" s="274">
        <f>ROUND(VLOOKUP($E23,'BDEW-Standard'!$B$3:$M$94,K$9,0),7)</f>
        <v>0.3045099</v>
      </c>
      <c r="L23" s="338">
        <f>ROUND(VLOOKUP($E23,'BDEW-Standard'!$B$3:$M$94,L$9,0),1)</f>
        <v>40</v>
      </c>
      <c r="M23" s="274">
        <f>ROUND(VLOOKUP($E23,'BDEW-Standard'!$B$3:$M$94,M$9,0),7)</f>
        <v>-1.67993E-2</v>
      </c>
      <c r="N23" s="274">
        <f>ROUND(VLOOKUP($E23,'BDEW-Standard'!$B$3:$M$94,N$9,0),7)</f>
        <v>0.67108889999999999</v>
      </c>
      <c r="O23" s="274">
        <f>ROUND(VLOOKUP($E23,'BDEW-Standard'!$B$3:$M$94,O$9,0),7)</f>
        <v>-2.0301E-3</v>
      </c>
      <c r="P23" s="274">
        <f>ROUND(VLOOKUP($E23,'BDEW-Standard'!$B$3:$M$94,P$9,0),7)</f>
        <v>0.56146229999999997</v>
      </c>
      <c r="Q23" s="339">
        <f t="shared" si="1"/>
        <v>0.99999985965518789</v>
      </c>
      <c r="R23" s="275">
        <f>ROUND(VLOOKUP(MID($E23,4,3),'Wochentag F(WT)'!$B$7:$J$22,R$9,0),4)</f>
        <v>1.2457</v>
      </c>
      <c r="S23" s="275">
        <f>ROUND(VLOOKUP(MID($E23,4,3),'Wochentag F(WT)'!$B$7:$J$22,S$9,0),4)</f>
        <v>1.2615000000000001</v>
      </c>
      <c r="T23" s="275">
        <f>ROUND(VLOOKUP(MID($E23,4,3),'Wochentag F(WT)'!$B$7:$J$22,T$9,0),4)</f>
        <v>1.2706999999999999</v>
      </c>
      <c r="U23" s="275">
        <f>ROUND(VLOOKUP(MID($E23,4,3),'Wochentag F(WT)'!$B$7:$J$22,U$9,0),4)</f>
        <v>1.2430000000000001</v>
      </c>
      <c r="V23" s="275">
        <f>ROUND(VLOOKUP(MID($E23,4,3),'Wochentag F(WT)'!$B$7:$J$22,V$9,0),4)</f>
        <v>1.1275999999999999</v>
      </c>
      <c r="W23" s="275">
        <f>ROUND(VLOOKUP(MID($E23,4,3),'Wochentag F(WT)'!$B$7:$J$22,W$9,0),4)</f>
        <v>0.38769999999999999</v>
      </c>
      <c r="X23" s="276">
        <f t="shared" si="2"/>
        <v>0.46379999999999999</v>
      </c>
      <c r="Y23" s="293"/>
      <c r="Z23" s="211"/>
    </row>
    <row r="24" spans="2:26" s="143" customFormat="1">
      <c r="B24" s="144">
        <v>13</v>
      </c>
      <c r="C24" s="145" t="str">
        <f t="shared" si="0"/>
        <v>GASPOOL L-Gas</v>
      </c>
      <c r="D24" s="62" t="s">
        <v>247</v>
      </c>
      <c r="E24" s="165" t="s">
        <v>677</v>
      </c>
      <c r="F24" s="297" t="str">
        <f>VLOOKUP($E24,'BDEW-Standard'!$B$3:$M$94,F$9,0)</f>
        <v>DH4</v>
      </c>
      <c r="H24" s="274">
        <f>ROUND(VLOOKUP($E24,'BDEW-Standard'!$B$3:$M$94,H$9,0),7)</f>
        <v>1.2569600000000001</v>
      </c>
      <c r="I24" s="274">
        <f>ROUND(VLOOKUP($E24,'BDEW-Standard'!$B$3:$M$94,I$9,0),7)</f>
        <v>-36.607845300000001</v>
      </c>
      <c r="J24" s="274">
        <f>ROUND(VLOOKUP($E24,'BDEW-Standard'!$B$3:$M$94,J$9,0),7)</f>
        <v>7.3211870000000001</v>
      </c>
      <c r="K24" s="274">
        <f>ROUND(VLOOKUP($E24,'BDEW-Standard'!$B$3:$M$94,K$9,0),7)</f>
        <v>7.7696000000000001E-2</v>
      </c>
      <c r="L24" s="338">
        <f>ROUND(VLOOKUP($E24,'BDEW-Standard'!$B$3:$M$94,L$9,0),1)</f>
        <v>40</v>
      </c>
      <c r="M24" s="274">
        <f>ROUND(VLOOKUP($E24,'BDEW-Standard'!$B$3:$M$94,M$9,0),7)</f>
        <v>-6.9682599999999997E-2</v>
      </c>
      <c r="N24" s="274">
        <f>ROUND(VLOOKUP($E24,'BDEW-Standard'!$B$3:$M$94,N$9,0),7)</f>
        <v>1.1379702</v>
      </c>
      <c r="O24" s="274">
        <f>ROUND(VLOOKUP($E24,'BDEW-Standard'!$B$3:$M$94,O$9,0),7)</f>
        <v>-8.5220000000000001E-4</v>
      </c>
      <c r="P24" s="274">
        <f>ROUND(VLOOKUP($E24,'BDEW-Standard'!$B$3:$M$94,P$9,0),7)</f>
        <v>0.19210679999999999</v>
      </c>
      <c r="Q24" s="339">
        <f t="shared" si="1"/>
        <v>0.99999998900648401</v>
      </c>
      <c r="R24" s="275">
        <f>ROUND(VLOOKUP(MID($E24,4,3),'Wochentag F(WT)'!$B$7:$J$22,R$9,0),4)</f>
        <v>1.03</v>
      </c>
      <c r="S24" s="275">
        <f>ROUND(VLOOKUP(MID($E24,4,3),'Wochentag F(WT)'!$B$7:$J$22,S$9,0),4)</f>
        <v>1.03</v>
      </c>
      <c r="T24" s="275">
        <f>ROUND(VLOOKUP(MID($E24,4,3),'Wochentag F(WT)'!$B$7:$J$22,T$9,0),4)</f>
        <v>1.02</v>
      </c>
      <c r="U24" s="275">
        <f>ROUND(VLOOKUP(MID($E24,4,3),'Wochentag F(WT)'!$B$7:$J$22,U$9,0),4)</f>
        <v>1.03</v>
      </c>
      <c r="V24" s="275">
        <f>ROUND(VLOOKUP(MID($E24,4,3),'Wochentag F(WT)'!$B$7:$J$22,V$9,0),4)</f>
        <v>1.01</v>
      </c>
      <c r="W24" s="275">
        <f>ROUND(VLOOKUP(MID($E24,4,3),'Wochentag F(WT)'!$B$7:$J$22,W$9,0),4)</f>
        <v>0.93</v>
      </c>
      <c r="X24" s="276">
        <f t="shared" si="2"/>
        <v>0.95000000000000018</v>
      </c>
      <c r="Y24" s="293"/>
      <c r="Z24" s="211"/>
    </row>
    <row r="25" spans="2:26" s="143" customFormat="1">
      <c r="B25" s="144">
        <v>14</v>
      </c>
      <c r="C25" s="145" t="str">
        <f t="shared" si="0"/>
        <v>GASPOOL L-Gas</v>
      </c>
      <c r="D25" s="62" t="s">
        <v>247</v>
      </c>
      <c r="E25" s="165" t="s">
        <v>665</v>
      </c>
      <c r="F25" s="297" t="str">
        <f>VLOOKUP($E25,'BDEW-Standard'!$B$3:$M$94,F$9,0)</f>
        <v>2D4</v>
      </c>
      <c r="H25" s="274">
        <f>ROUND(VLOOKUP($E25,'BDEW-Standard'!$B$3:$M$94,H$9,0),7)</f>
        <v>1.0443538000000001</v>
      </c>
      <c r="I25" s="274">
        <f>ROUND(VLOOKUP($E25,'BDEW-Standard'!$B$3:$M$94,I$9,0),7)</f>
        <v>-35.033375399999997</v>
      </c>
      <c r="J25" s="274">
        <f>ROUND(VLOOKUP($E25,'BDEW-Standard'!$B$3:$M$94,J$9,0),7)</f>
        <v>6.2240634000000004</v>
      </c>
      <c r="K25" s="274">
        <f>ROUND(VLOOKUP($E25,'BDEW-Standard'!$B$3:$M$94,K$9,0),7)</f>
        <v>5.0291700000000002E-2</v>
      </c>
      <c r="L25" s="338">
        <f>ROUND(VLOOKUP($E25,'BDEW-Standard'!$B$3:$M$94,L$9,0),1)</f>
        <v>40</v>
      </c>
      <c r="M25" s="274">
        <f>ROUND(VLOOKUP($E25,'BDEW-Standard'!$B$3:$M$94,M$9,0),7)</f>
        <v>-5.3582999999999999E-2</v>
      </c>
      <c r="N25" s="274">
        <f>ROUND(VLOOKUP($E25,'BDEW-Standard'!$B$3:$M$94,N$9,0),7)</f>
        <v>0.99959010000000004</v>
      </c>
      <c r="O25" s="274">
        <f>ROUND(VLOOKUP($E25,'BDEW-Standard'!$B$3:$M$94,O$9,0),7)</f>
        <v>-2.1757999999999999E-3</v>
      </c>
      <c r="P25" s="274">
        <f>ROUND(VLOOKUP($E25,'BDEW-Standard'!$B$3:$M$94,P$9,0),7)</f>
        <v>0.1633299</v>
      </c>
      <c r="Q25" s="339">
        <f t="shared" si="1"/>
        <v>1.0000001838008261</v>
      </c>
      <c r="R25" s="275">
        <f>ROUND(VLOOKUP(MID($E25,4,3),'Wochentag F(WT)'!$B$7:$J$22,R$9,0),4)</f>
        <v>1</v>
      </c>
      <c r="S25" s="275">
        <f>ROUND(VLOOKUP(MID($E25,4,3),'Wochentag F(WT)'!$B$7:$J$22,S$9,0),4)</f>
        <v>1</v>
      </c>
      <c r="T25" s="275">
        <f>ROUND(VLOOKUP(MID($E25,4,3),'Wochentag F(WT)'!$B$7:$J$22,T$9,0),4)</f>
        <v>1</v>
      </c>
      <c r="U25" s="275">
        <f>ROUND(VLOOKUP(MID($E25,4,3),'Wochentag F(WT)'!$B$7:$J$22,U$9,0),4)</f>
        <v>1</v>
      </c>
      <c r="V25" s="275">
        <f>ROUND(VLOOKUP(MID($E25,4,3),'Wochentag F(WT)'!$B$7:$J$22,V$9,0),4)</f>
        <v>1</v>
      </c>
      <c r="W25" s="275">
        <f>ROUND(VLOOKUP(MID($E25,4,3),'Wochentag F(WT)'!$B$7:$J$22,W$9,0),4)</f>
        <v>1</v>
      </c>
      <c r="X25" s="276">
        <f t="shared" si="2"/>
        <v>1</v>
      </c>
      <c r="Y25" s="293"/>
      <c r="Z25" s="211"/>
    </row>
    <row r="26" spans="2:26" s="143" customFormat="1">
      <c r="B26" s="144">
        <v>15</v>
      </c>
      <c r="C26" s="145" t="str">
        <f t="shared" si="0"/>
        <v>GASPOOL L-Gas</v>
      </c>
      <c r="D26" s="62" t="s">
        <v>247</v>
      </c>
      <c r="E26" s="165" t="s">
        <v>678</v>
      </c>
      <c r="F26" s="297" t="str">
        <f>VLOOKUP($E26,'BDEW-Standard'!$B$3:$M$94,F$9,0)</f>
        <v>1D4</v>
      </c>
      <c r="H26" s="274">
        <f>ROUND(VLOOKUP($E26,'BDEW-Standard'!$B$3:$M$94,H$9,0),7)</f>
        <v>1.3819663</v>
      </c>
      <c r="I26" s="274">
        <f>ROUND(VLOOKUP($E26,'BDEW-Standard'!$B$3:$M$94,I$9,0),7)</f>
        <v>-37.412415500000002</v>
      </c>
      <c r="J26" s="274">
        <f>ROUND(VLOOKUP($E26,'BDEW-Standard'!$B$3:$M$94,J$9,0),7)</f>
        <v>6.1723179000000004</v>
      </c>
      <c r="K26" s="274">
        <f>ROUND(VLOOKUP($E26,'BDEW-Standard'!$B$3:$M$94,K$9,0),7)</f>
        <v>3.9628400000000001E-2</v>
      </c>
      <c r="L26" s="338">
        <f>ROUND(VLOOKUP($E26,'BDEW-Standard'!$B$3:$M$94,L$9,0),1)</f>
        <v>40</v>
      </c>
      <c r="M26" s="274">
        <f>ROUND(VLOOKUP($E26,'BDEW-Standard'!$B$3:$M$94,M$9,0),7)</f>
        <v>-6.7215899999999995E-2</v>
      </c>
      <c r="N26" s="274">
        <f>ROUND(VLOOKUP($E26,'BDEW-Standard'!$B$3:$M$94,N$9,0),7)</f>
        <v>1.1167138000000001</v>
      </c>
      <c r="O26" s="274">
        <f>ROUND(VLOOKUP($E26,'BDEW-Standard'!$B$3:$M$94,O$9,0),7)</f>
        <v>-1.9981999999999999E-3</v>
      </c>
      <c r="P26" s="274">
        <f>ROUND(VLOOKUP($E26,'BDEW-Standard'!$B$3:$M$94,P$9,0),7)</f>
        <v>0.13550699999999999</v>
      </c>
      <c r="Q26" s="339">
        <f t="shared" si="1"/>
        <v>0.99999978578617399</v>
      </c>
      <c r="R26" s="275">
        <f>ROUND(VLOOKUP(MID($E26,4,3),'Wochentag F(WT)'!$B$7:$J$22,R$9,0),4)</f>
        <v>1</v>
      </c>
      <c r="S26" s="275">
        <f>ROUND(VLOOKUP(MID($E26,4,3),'Wochentag F(WT)'!$B$7:$J$22,S$9,0),4)</f>
        <v>1</v>
      </c>
      <c r="T26" s="275">
        <f>ROUND(VLOOKUP(MID($E26,4,3),'Wochentag F(WT)'!$B$7:$J$22,T$9,0),4)</f>
        <v>1</v>
      </c>
      <c r="U26" s="275">
        <f>ROUND(VLOOKUP(MID($E26,4,3),'Wochentag F(WT)'!$B$7:$J$22,U$9,0),4)</f>
        <v>1</v>
      </c>
      <c r="V26" s="275">
        <f>ROUND(VLOOKUP(MID($E26,4,3),'Wochentag F(WT)'!$B$7:$J$22,V$9,0),4)</f>
        <v>1</v>
      </c>
      <c r="W26" s="275">
        <f>ROUND(VLOOKUP(MID($E26,4,3),'Wochentag F(WT)'!$B$7:$J$22,W$9,0),4)</f>
        <v>1</v>
      </c>
      <c r="X26" s="276">
        <f t="shared" ref="X26" si="3">7-SUM(R26:W26)</f>
        <v>1</v>
      </c>
      <c r="Y26" s="293"/>
      <c r="Z26" s="211"/>
    </row>
    <row r="27" spans="2:26" s="143" customFormat="1">
      <c r="B27" s="144">
        <v>16</v>
      </c>
      <c r="C27" s="145" t="str">
        <f t="shared" si="0"/>
        <v>GASPOOL L-Gas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GASPOOL L-Gas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GASPOOL L-Gas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GASPOOL L-Gas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GASPOOL L-Gas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GASPOOL L-Gas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GASPOOL L-Gas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GASPOOL L-Gas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GASPOOL L-Gas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GASPOOL L-Gas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GASPOOL L-Gas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GASPOOL L-Gas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GASPOOL L-Gas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GASPOOL L-Gas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GASPOOL L-Gas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25 H11:K25 M11:P25 R11:Y25 R27:Y41 Y26 M27:P41 H27:K41 F27:F41">
    <cfRule type="expression" dxfId="19" priority="15">
      <formula>ISERROR(F11)</formula>
    </cfRule>
  </conditionalFormatting>
  <conditionalFormatting sqref="E12:F25 Y12:Y41 E27:F41 E26">
    <cfRule type="duplicateValues" dxfId="18" priority="37"/>
  </conditionalFormatting>
  <conditionalFormatting sqref="L11:L25 L27:L41">
    <cfRule type="expression" dxfId="17" priority="6">
      <formula>ISERROR(L11)</formula>
    </cfRule>
  </conditionalFormatting>
  <conditionalFormatting sqref="Q11:Q25 Q27:Q41">
    <cfRule type="expression" dxfId="16" priority="5">
      <formula>ISERROR(Q11)</formula>
    </cfRule>
  </conditionalFormatting>
  <conditionalFormatting sqref="F26 H26:K26 M26:P26 R26:X26">
    <cfRule type="expression" dxfId="7" priority="3">
      <formula>ISERROR(F26)</formula>
    </cfRule>
  </conditionalFormatting>
  <conditionalFormatting sqref="F26">
    <cfRule type="duplicateValues" dxfId="5" priority="4"/>
  </conditionalFormatting>
  <conditionalFormatting sqref="L26">
    <cfRule type="expression" dxfId="3" priority="2">
      <formula>ISERROR(L26)</formula>
    </cfRule>
  </conditionalFormatting>
  <conditionalFormatting sqref="Q26">
    <cfRule type="expression" dxfId="1" priority="1">
      <formula>ISERROR(Q26)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5 H12:K25 C13:C33 C34:C41 M12:X25" unlockedFormula="1"/>
    <ignoredError sqref="L12:L25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7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J19" sqref="J19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Stadtwerke Wernigerode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446</v>
      </c>
      <c r="C5" s="64" t="str">
        <f>Netzbetreiber!$D$28</f>
        <v>GASPOOL L-Gas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444</v>
      </c>
      <c r="C6" s="63" t="str">
        <f>Netzbetreiber!$D$11</f>
        <v>9870041700005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460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583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649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0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5">
        <f t="shared" si="0"/>
        <v>0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13" priority="9">
      <formula>IF(E$11="NB",1,0)</formula>
    </cfRule>
  </conditionalFormatting>
  <conditionalFormatting sqref="F12:L33">
    <cfRule type="expression" dxfId="12" priority="6">
      <formula>IF($E12=1,1,0)</formula>
    </cfRule>
  </conditionalFormatting>
  <conditionalFormatting sqref="M12:AD33">
    <cfRule type="expression" dxfId="11" priority="3">
      <formula>IF(M$11=1,1)</formula>
    </cfRule>
  </conditionalFormatting>
  <conditionalFormatting sqref="M9:AD10">
    <cfRule type="expression" dxfId="10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347</v>
      </c>
      <c r="B1" s="213">
        <v>42173</v>
      </c>
      <c r="D1" s="131" t="s">
        <v>456</v>
      </c>
      <c r="F1" s="214" t="s">
        <v>545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652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457</v>
      </c>
      <c r="B1" s="128"/>
      <c r="D1" s="214" t="s">
        <v>545</v>
      </c>
    </row>
    <row r="2" spans="1:16">
      <c r="A2" s="234"/>
      <c r="B2" s="233" t="s">
        <v>458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459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9" priority="2" stopIfTrue="1" operator="equal">
      <formula>$M7</formula>
    </cfRule>
  </conditionalFormatting>
  <conditionalFormatting sqref="D9:J9">
    <cfRule type="cellIs" dxfId="8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Göbel Sebastian</cp:lastModifiedBy>
  <cp:lastPrinted>2015-03-20T22:59:10Z</cp:lastPrinted>
  <dcterms:created xsi:type="dcterms:W3CDTF">2015-01-15T05:25:41Z</dcterms:created>
  <dcterms:modified xsi:type="dcterms:W3CDTF">2016-11-29T06:21:52Z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DATEV-DMS_RA_REGISTER_NR">
    <vt:lpwstr>03717-06</vt:lpwstr>
  </property>
  <property fmtid="{D5CDD505-2E9C-101B-9397-08002B2CF9AE}" pid="9" name="DATEV-DMS_DOKU_NR">
    <vt:lpwstr>2780500</vt:lpwstr>
  </property>
  <property fmtid="{D5CDD505-2E9C-101B-9397-08002B2CF9AE}" pid="10" name="DATEV-DMS_MANDANT_NR">
    <vt:lpwstr>59999</vt:lpwstr>
  </property>
  <property fmtid="{D5CDD505-2E9C-101B-9397-08002B2CF9AE}" pid="11" name="DATEV-DMS_MANDANT_BEZ">
    <vt:lpwstr>BBH Kanzleiverwaltung (intern)</vt:lpwstr>
  </property>
</Properties>
</file>